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ayfa1" sheetId="1" r:id="rId1"/>
  </sheets>
  <definedNames>
    <definedName name="_xlfn.SHEET" hidden="1">#NAME?</definedName>
    <definedName name="_xlnm.Print_Titles" localSheetId="0">'Sayfa1'!$3:$10</definedName>
  </definedNames>
  <calcPr fullCalcOnLoad="1"/>
</workbook>
</file>

<file path=xl/sharedStrings.xml><?xml version="1.0" encoding="utf-8"?>
<sst xmlns="http://schemas.openxmlformats.org/spreadsheetml/2006/main" count="4477" uniqueCount="2434">
  <si>
    <t>SNO</t>
  </si>
  <si>
    <t>Ada/Parsel</t>
  </si>
  <si>
    <t>Kamu</t>
  </si>
  <si>
    <t>Hisse</t>
  </si>
  <si>
    <t>Alanı</t>
  </si>
  <si>
    <t>Pay</t>
  </si>
  <si>
    <t>Ada/Par</t>
  </si>
  <si>
    <t>TESCİLE ESAS</t>
  </si>
  <si>
    <t>Alan</t>
  </si>
  <si>
    <t>Dgirmeyen</t>
  </si>
  <si>
    <t>İstimlak</t>
  </si>
  <si>
    <t>Bağış</t>
  </si>
  <si>
    <t>Dop</t>
  </si>
  <si>
    <t>Eskidop</t>
  </si>
  <si>
    <t>Dopal</t>
  </si>
  <si>
    <t>HisseN</t>
  </si>
  <si>
    <t>HisseD</t>
  </si>
  <si>
    <t>Blokalan</t>
  </si>
  <si>
    <t>İMAR</t>
  </si>
  <si>
    <t>KADASTRO</t>
  </si>
  <si>
    <t>( İMAR PARSELİNE SIRALI )</t>
  </si>
  <si>
    <t>Sayfa</t>
  </si>
  <si>
    <t>Malik</t>
  </si>
  <si>
    <t>D.Giren</t>
  </si>
  <si>
    <t>DopMik</t>
  </si>
  <si>
    <t>Tahsis</t>
  </si>
  <si>
    <t>Açıklama (Kad)</t>
  </si>
  <si>
    <t>Açıklama (İmar)</t>
  </si>
  <si>
    <t>Cinsi</t>
  </si>
  <si>
    <t>PaftaNo</t>
  </si>
  <si>
    <t>Baba Adı</t>
  </si>
  <si>
    <t>Toplam Alan</t>
  </si>
  <si>
    <t>Toplam Pay</t>
  </si>
  <si>
    <t>Top. Kamulaştırma</t>
  </si>
  <si>
    <t>Top. Düz. Girmeyen</t>
  </si>
  <si>
    <t>Top. Düz. Giren</t>
  </si>
  <si>
    <t>Toplam Ada Alanı</t>
  </si>
  <si>
    <t>O.Katılım Oranı</t>
  </si>
  <si>
    <t>D.O.Payı Oranı</t>
  </si>
  <si>
    <t>Hissesi</t>
  </si>
  <si>
    <t>EskiDopo</t>
  </si>
  <si>
    <t>EskiDopoMik</t>
  </si>
  <si>
    <t>İlave Dop Mik.</t>
  </si>
  <si>
    <t>DAĞITIM CETVELİ</t>
  </si>
  <si>
    <t>Eski-Hesaplanan DOP</t>
  </si>
  <si>
    <t xml:space="preserve"> </t>
  </si>
  <si>
    <t>159/7</t>
  </si>
  <si>
    <t>MUSTAFA GÖZ</t>
  </si>
  <si>
    <t>SALIH</t>
  </si>
  <si>
    <t>CEMAL GÖZ|SALİH
AHMET GÖZ|SALİH</t>
  </si>
  <si>
    <t/>
  </si>
  <si>
    <t>444/1</t>
  </si>
  <si>
    <t>ARSA</t>
  </si>
  <si>
    <t xml:space="preserve"> 1106.14</t>
  </si>
  <si>
    <t>1</t>
  </si>
  <si>
    <t>106521.21</t>
  </si>
  <si>
    <t>106521.21</t>
  </si>
  <si>
    <t>9464.42</t>
  </si>
  <si>
    <t>96456.45</t>
  </si>
  <si>
    <t>0.00</t>
  </si>
  <si>
    <t>64336.13</t>
  </si>
  <si>
    <t>0.3347524</t>
  </si>
  <si>
    <t>0.0052582</t>
  </si>
  <si>
    <t>151/1</t>
  </si>
  <si>
    <t>ABDULLAH MANAP</t>
  </si>
  <si>
    <t>ISMAIL</t>
  </si>
  <si>
    <t>446/1</t>
  </si>
  <si>
    <t>ARSA</t>
  </si>
  <si>
    <t xml:space="preserve"> 473.32</t>
  </si>
  <si>
    <t>151/1</t>
  </si>
  <si>
    <t>DURSUN MANAP</t>
  </si>
  <si>
    <t>ISMAIL</t>
  </si>
  <si>
    <t>446/1</t>
  </si>
  <si>
    <t>ARSA</t>
  </si>
  <si>
    <t xml:space="preserve"> 473.32</t>
  </si>
  <si>
    <t>151/1</t>
  </si>
  <si>
    <t>ŞABAN MANAP</t>
  </si>
  <si>
    <t>ISMAIL</t>
  </si>
  <si>
    <t>446/1</t>
  </si>
  <si>
    <t>ARSA</t>
  </si>
  <si>
    <t xml:space="preserve"> 473.32</t>
  </si>
  <si>
    <t>159/2</t>
  </si>
  <si>
    <t>EMINE MENAP</t>
  </si>
  <si>
    <t>MEHMET</t>
  </si>
  <si>
    <t>446/1</t>
  </si>
  <si>
    <t>ARSA</t>
  </si>
  <si>
    <t xml:space="preserve"> 473.32</t>
  </si>
  <si>
    <t>159/2</t>
  </si>
  <si>
    <t>FATULA ÇIÇEK</t>
  </si>
  <si>
    <t>MUHARREM</t>
  </si>
  <si>
    <t>446/1</t>
  </si>
  <si>
    <t>ARSA</t>
  </si>
  <si>
    <t xml:space="preserve"> 473.32</t>
  </si>
  <si>
    <t>159/2</t>
  </si>
  <si>
    <t>HAYRİ MANAVOĞLU</t>
  </si>
  <si>
    <t>SALIH</t>
  </si>
  <si>
    <t xml:space="preserve">SERFA MANAP|SALİH
FATMA MENAP|MUSTAFA
MUHAMMET HASAN MENAP|İSMAİL
</t>
  </si>
  <si>
    <t>446/1</t>
  </si>
  <si>
    <t>ARSA</t>
  </si>
  <si>
    <t xml:space="preserve"> 473.32</t>
  </si>
  <si>
    <t>159/2</t>
  </si>
  <si>
    <t>İSMAİL KARATAY</t>
  </si>
  <si>
    <t>MUSTAFA</t>
  </si>
  <si>
    <t>BAYRAM KARATAY|İSMAİL
İMDAT KARATAY|İSMAİL
SEDAT KARATAY|İSMAİL</t>
  </si>
  <si>
    <t>446/1</t>
  </si>
  <si>
    <t>ARSA</t>
  </si>
  <si>
    <t xml:space="preserve"> 473.32</t>
  </si>
  <si>
    <t>159/2</t>
  </si>
  <si>
    <t>MUSTAFA MENAP</t>
  </si>
  <si>
    <t>MUHARREM</t>
  </si>
  <si>
    <t>446/1</t>
  </si>
  <si>
    <t>ARSA</t>
  </si>
  <si>
    <t xml:space="preserve"> 473.32</t>
  </si>
  <si>
    <t>159/4</t>
  </si>
  <si>
    <t>NURIYE AYGÜN</t>
  </si>
  <si>
    <t>DURSUN</t>
  </si>
  <si>
    <t>YAŞAR AYGÜN|ŞABAN
GÜRKAN AYGÜN|ŞABAN
MEHMET AYGÜN|ŞABAN</t>
  </si>
  <si>
    <t>446/1</t>
  </si>
  <si>
    <t>ARSA</t>
  </si>
  <si>
    <t xml:space="preserve"> 473.32</t>
  </si>
  <si>
    <t>159/5</t>
  </si>
  <si>
    <t>ABDULLAH DANIŞ</t>
  </si>
  <si>
    <t>ADIL</t>
  </si>
  <si>
    <t>446/1</t>
  </si>
  <si>
    <t>ARSA</t>
  </si>
  <si>
    <t xml:space="preserve"> 473.32</t>
  </si>
  <si>
    <t>159/5</t>
  </si>
  <si>
    <t>RECEP DANIŞ</t>
  </si>
  <si>
    <t>ADIL</t>
  </si>
  <si>
    <t>446/1</t>
  </si>
  <si>
    <t>ARSA</t>
  </si>
  <si>
    <t xml:space="preserve"> 473.32</t>
  </si>
  <si>
    <t>159/6</t>
  </si>
  <si>
    <t>AHMET GENEL</t>
  </si>
  <si>
    <t>SALIH</t>
  </si>
  <si>
    <t>446/2</t>
  </si>
  <si>
    <t>ARSA</t>
  </si>
  <si>
    <t xml:space="preserve"> 616.8</t>
  </si>
  <si>
    <t>159/6</t>
  </si>
  <si>
    <t>FATMA GENEL</t>
  </si>
  <si>
    <t>MUSTAFA</t>
  </si>
  <si>
    <t>446/2</t>
  </si>
  <si>
    <t>ARSA</t>
  </si>
  <si>
    <t xml:space="preserve"> 616.8</t>
  </si>
  <si>
    <t>159/6</t>
  </si>
  <si>
    <t>ISMAIL GENEL</t>
  </si>
  <si>
    <t>MUSTAFA</t>
  </si>
  <si>
    <t>446/2</t>
  </si>
  <si>
    <t>ARSA</t>
  </si>
  <si>
    <t xml:space="preserve"> 616.8</t>
  </si>
  <si>
    <t>159/6</t>
  </si>
  <si>
    <t>MEHMET GENEL</t>
  </si>
  <si>
    <t>HAMIT</t>
  </si>
  <si>
    <t>446/2</t>
  </si>
  <si>
    <t>ARSA</t>
  </si>
  <si>
    <t xml:space="preserve"> 616.8</t>
  </si>
  <si>
    <t>159/6</t>
  </si>
  <si>
    <t>MEHMET GENEL</t>
  </si>
  <si>
    <t>SALIH</t>
  </si>
  <si>
    <t>446/2</t>
  </si>
  <si>
    <t>ARSA</t>
  </si>
  <si>
    <t xml:space="preserve"> 616.8</t>
  </si>
  <si>
    <t>159/6</t>
  </si>
  <si>
    <t>MUSTAFA GENEL</t>
  </si>
  <si>
    <t>SALIH</t>
  </si>
  <si>
    <t>446/2</t>
  </si>
  <si>
    <t>ARSA</t>
  </si>
  <si>
    <t xml:space="preserve"> 616.8</t>
  </si>
  <si>
    <t>159/6</t>
  </si>
  <si>
    <t>SAKINE GENEL</t>
  </si>
  <si>
    <t>MUSTAFA</t>
  </si>
  <si>
    <t>446/2</t>
  </si>
  <si>
    <t>ARSA</t>
  </si>
  <si>
    <t xml:space="preserve"> 616.8</t>
  </si>
  <si>
    <t>159/6</t>
  </si>
  <si>
    <t>SAKİNE GENEL</t>
  </si>
  <si>
    <t>MUSTAFA</t>
  </si>
  <si>
    <t>YAŞAR GENEL|MUSTAFA
İSMAİL GENEL|MUSTAFA
FATMA ÖZEN|MUSTAFA</t>
  </si>
  <si>
    <t>446/2</t>
  </si>
  <si>
    <t>ARSA</t>
  </si>
  <si>
    <t xml:space="preserve"> 616.8</t>
  </si>
  <si>
    <t>159/6</t>
  </si>
  <si>
    <t>YAŞAR GENEL</t>
  </si>
  <si>
    <t>MUSTAFA</t>
  </si>
  <si>
    <t>446/2</t>
  </si>
  <si>
    <t>ARSA</t>
  </si>
  <si>
    <t xml:space="preserve"> 616.8</t>
  </si>
  <si>
    <t>159/1</t>
  </si>
  <si>
    <t>MUSTAFA GENEL</t>
  </si>
  <si>
    <t>ABDI</t>
  </si>
  <si>
    <t>447/1</t>
  </si>
  <si>
    <t xml:space="preserve"> 1386.04</t>
  </si>
  <si>
    <t>159/3</t>
  </si>
  <si>
    <t>MUSTAFA GENEL</t>
  </si>
  <si>
    <t>ABDI</t>
  </si>
  <si>
    <t>447/1</t>
  </si>
  <si>
    <t xml:space="preserve"> 1386.04</t>
  </si>
  <si>
    <t>154/12</t>
  </si>
  <si>
    <t>HALIL EROĞLU</t>
  </si>
  <si>
    <t>KIBAR</t>
  </si>
  <si>
    <t>447/2</t>
  </si>
  <si>
    <t>ARSA</t>
  </si>
  <si>
    <t xml:space="preserve"> 510.54</t>
  </si>
  <si>
    <t>154/12</t>
  </si>
  <si>
    <t>ISMAIL EROĞLU</t>
  </si>
  <si>
    <t>KIBAR</t>
  </si>
  <si>
    <t>447/2</t>
  </si>
  <si>
    <t>ARSA</t>
  </si>
  <si>
    <t xml:space="preserve"> 510.54</t>
  </si>
  <si>
    <t>151/1</t>
  </si>
  <si>
    <t>ABDULLAH MANAP</t>
  </si>
  <si>
    <t>ISMAIL</t>
  </si>
  <si>
    <t>448/1</t>
  </si>
  <si>
    <t>ARSA</t>
  </si>
  <si>
    <t xml:space="preserve"> 655.08</t>
  </si>
  <si>
    <t>151/1</t>
  </si>
  <si>
    <t>DURSUN MANAP</t>
  </si>
  <si>
    <t>ISMAIL</t>
  </si>
  <si>
    <t>448/1</t>
  </si>
  <si>
    <t>ARSA</t>
  </si>
  <si>
    <t xml:space="preserve"> 655.08</t>
  </si>
  <si>
    <t>151/1</t>
  </si>
  <si>
    <t>ŞABAN MANAP</t>
  </si>
  <si>
    <t>ISMAIL</t>
  </si>
  <si>
    <t>448/1</t>
  </si>
  <si>
    <t>ARSA</t>
  </si>
  <si>
    <t xml:space="preserve"> 655.08</t>
  </si>
  <si>
    <t>159/7</t>
  </si>
  <si>
    <t>MUSTAFA GÖZ</t>
  </si>
  <si>
    <t>SALIH</t>
  </si>
  <si>
    <t>CEMAL GÖZ|SALİH
AHMET GÖZ|SALİH</t>
  </si>
  <si>
    <t>448/1</t>
  </si>
  <si>
    <t>ARSA</t>
  </si>
  <si>
    <t xml:space="preserve"> 655.08</t>
  </si>
  <si>
    <t>151/1</t>
  </si>
  <si>
    <t>ABDULLAH MANAP</t>
  </si>
  <si>
    <t>ISMAIL</t>
  </si>
  <si>
    <t>448/2</t>
  </si>
  <si>
    <t>ARSA</t>
  </si>
  <si>
    <t xml:space="preserve"> 350</t>
  </si>
  <si>
    <t>151/1</t>
  </si>
  <si>
    <t>DURSUN MANAP</t>
  </si>
  <si>
    <t>ISMAIL</t>
  </si>
  <si>
    <t>448/2</t>
  </si>
  <si>
    <t>ARSA</t>
  </si>
  <si>
    <t xml:space="preserve"> 350</t>
  </si>
  <si>
    <t>151/1</t>
  </si>
  <si>
    <t>ŞABAN MANAP</t>
  </si>
  <si>
    <t>ISMAIL</t>
  </si>
  <si>
    <t>448/2</t>
  </si>
  <si>
    <t>ARSA</t>
  </si>
  <si>
    <t xml:space="preserve"> 350</t>
  </si>
  <si>
    <t>159/17</t>
  </si>
  <si>
    <t>ISMAIL HAKKI İNCE</t>
  </si>
  <si>
    <t>ABDULLAH</t>
  </si>
  <si>
    <t>448/2</t>
  </si>
  <si>
    <t>ARSA</t>
  </si>
  <si>
    <t xml:space="preserve"> 350</t>
  </si>
  <si>
    <t>159/17</t>
  </si>
  <si>
    <t>ISMAIL HAKKI İNCE</t>
  </si>
  <si>
    <t>ABDULLAH</t>
  </si>
  <si>
    <t>448/3</t>
  </si>
  <si>
    <t xml:space="preserve"> 461.38</t>
  </si>
  <si>
    <t>151/1</t>
  </si>
  <si>
    <t>ABDULLAH MANAP</t>
  </si>
  <si>
    <t>ISMAIL</t>
  </si>
  <si>
    <t>448/4</t>
  </si>
  <si>
    <t xml:space="preserve"> 671.23</t>
  </si>
  <si>
    <t>151/1</t>
  </si>
  <si>
    <t>DURSUN MANAP</t>
  </si>
  <si>
    <t>ISMAIL</t>
  </si>
  <si>
    <t>448/4</t>
  </si>
  <si>
    <t xml:space="preserve"> 671.23</t>
  </si>
  <si>
    <t>151/1</t>
  </si>
  <si>
    <t>ŞABAN MANAP</t>
  </si>
  <si>
    <t>ISMAIL</t>
  </si>
  <si>
    <t>448/4</t>
  </si>
  <si>
    <t xml:space="preserve"> 671.23</t>
  </si>
  <si>
    <t>152/1</t>
  </si>
  <si>
    <t>EMINE SOYLU</t>
  </si>
  <si>
    <t>SALIM</t>
  </si>
  <si>
    <t>448/4</t>
  </si>
  <si>
    <t xml:space="preserve"> 671.23</t>
  </si>
  <si>
    <t>152/3</t>
  </si>
  <si>
    <t>ABDULLAH MANAP</t>
  </si>
  <si>
    <t>ISMAIL</t>
  </si>
  <si>
    <t>448/4</t>
  </si>
  <si>
    <t xml:space="preserve"> 671.23</t>
  </si>
  <si>
    <t>152/10</t>
  </si>
  <si>
    <t>BAYRAM ÇIÇEK</t>
  </si>
  <si>
    <t>MUSTAFA</t>
  </si>
  <si>
    <t>448/4</t>
  </si>
  <si>
    <t xml:space="preserve"> 671.23</t>
  </si>
  <si>
    <t>154/12</t>
  </si>
  <si>
    <t>HALIL EROĞLU</t>
  </si>
  <si>
    <t>KIBAR</t>
  </si>
  <si>
    <t>448/4</t>
  </si>
  <si>
    <t xml:space="preserve"> 671.23</t>
  </si>
  <si>
    <t>154/12</t>
  </si>
  <si>
    <t>ISMAIL EROĞLU</t>
  </si>
  <si>
    <t>KIBAR</t>
  </si>
  <si>
    <t>448/4</t>
  </si>
  <si>
    <t xml:space="preserve"> 671.23</t>
  </si>
  <si>
    <t>154/24</t>
  </si>
  <si>
    <t>AHMET HÜSEYIN PAŞAOĞLU</t>
  </si>
  <si>
    <t>MUSTAFA</t>
  </si>
  <si>
    <t>449/1</t>
  </si>
  <si>
    <t>ARSA</t>
  </si>
  <si>
    <t xml:space="preserve"> 531.11</t>
  </si>
  <si>
    <t>159/15</t>
  </si>
  <si>
    <t>FATMA ÇAKıR</t>
  </si>
  <si>
    <t>ISMAIL</t>
  </si>
  <si>
    <t>AHMET ZEREN|İSMAİL
MUSTAFA ZEREN|İSMAİL
AZİZ ZEREN|İSMAİL
MELEHAT AYGÜN|İSMAİL
MELİHA KANIK|MUSTAFA
MEHMET GENEL|MUSTAFA
AHMET GENEL|MUSTAFA
ELMAS BAKAL|MUSTAFA</t>
  </si>
  <si>
    <t>449/1</t>
  </si>
  <si>
    <t>ARSA</t>
  </si>
  <si>
    <t xml:space="preserve"> 531.11</t>
  </si>
  <si>
    <t>159/18</t>
  </si>
  <si>
    <t>RESUL İNCE</t>
  </si>
  <si>
    <t>İBRAHİM</t>
  </si>
  <si>
    <t>449/1</t>
  </si>
  <si>
    <t>ARSA</t>
  </si>
  <si>
    <t xml:space="preserve"> 531.11</t>
  </si>
  <si>
    <t>154/12</t>
  </si>
  <si>
    <t>HALIL EROĞLU</t>
  </si>
  <si>
    <t>KIBAR</t>
  </si>
  <si>
    <t>449/2</t>
  </si>
  <si>
    <t>ARSA</t>
  </si>
  <si>
    <t xml:space="preserve"> 584.54</t>
  </si>
  <si>
    <t>154/12</t>
  </si>
  <si>
    <t>ISMAIL EROĞLU</t>
  </si>
  <si>
    <t>KIBAR</t>
  </si>
  <si>
    <t>449/2</t>
  </si>
  <si>
    <t>ARSA</t>
  </si>
  <si>
    <t xml:space="preserve"> 584.54</t>
  </si>
  <si>
    <t>159/23</t>
  </si>
  <si>
    <t>DURSUN ALİ İNCE</t>
  </si>
  <si>
    <t>SALİH</t>
  </si>
  <si>
    <t>449/2</t>
  </si>
  <si>
    <t>ARSA</t>
  </si>
  <si>
    <t xml:space="preserve"> 584.54</t>
  </si>
  <si>
    <t>159/23</t>
  </si>
  <si>
    <t>DURSUN MENAP</t>
  </si>
  <si>
    <t>FATMA EŞİ</t>
  </si>
  <si>
    <t>449/2</t>
  </si>
  <si>
    <t>ARSA</t>
  </si>
  <si>
    <t xml:space="preserve"> 584.54</t>
  </si>
  <si>
    <t>159/23</t>
  </si>
  <si>
    <t>EMINE İNCE</t>
  </si>
  <si>
    <t>SALIH</t>
  </si>
  <si>
    <t>449/2</t>
  </si>
  <si>
    <t>ARSA</t>
  </si>
  <si>
    <t xml:space="preserve"> 584.54</t>
  </si>
  <si>
    <t>159/23</t>
  </si>
  <si>
    <t>HATICE İNCE</t>
  </si>
  <si>
    <t>SALIH</t>
  </si>
  <si>
    <t>449/2</t>
  </si>
  <si>
    <t>ARSA</t>
  </si>
  <si>
    <t xml:space="preserve"> 584.54</t>
  </si>
  <si>
    <t>154/12</t>
  </si>
  <si>
    <t>HALIL EROĞLU</t>
  </si>
  <si>
    <t>KIBAR</t>
  </si>
  <si>
    <t>449/3</t>
  </si>
  <si>
    <t>ARSA</t>
  </si>
  <si>
    <t xml:space="preserve"> 597.42</t>
  </si>
  <si>
    <t>154/12</t>
  </si>
  <si>
    <t>ISMAIL EROĞLU</t>
  </si>
  <si>
    <t>KIBAR</t>
  </si>
  <si>
    <t>449/3</t>
  </si>
  <si>
    <t>ARSA</t>
  </si>
  <si>
    <t xml:space="preserve"> 597.42</t>
  </si>
  <si>
    <t>159/24</t>
  </si>
  <si>
    <t>MEHMET ÖZTÜRK</t>
  </si>
  <si>
    <t>İBRAHİM</t>
  </si>
  <si>
    <t>449/3</t>
  </si>
  <si>
    <t>ARSA</t>
  </si>
  <si>
    <t xml:space="preserve"> 597.42</t>
  </si>
  <si>
    <t>159/24</t>
  </si>
  <si>
    <t>MUSTAFA ÖZTÜRK</t>
  </si>
  <si>
    <t>İBRAHIM</t>
  </si>
  <si>
    <t>449/3</t>
  </si>
  <si>
    <t>ARSA</t>
  </si>
  <si>
    <t xml:space="preserve"> 597.42</t>
  </si>
  <si>
    <t>154/11</t>
  </si>
  <si>
    <t>MUSTAFA DINÇ</t>
  </si>
  <si>
    <t>SALIH</t>
  </si>
  <si>
    <t>449/4</t>
  </si>
  <si>
    <t>ARSA</t>
  </si>
  <si>
    <t xml:space="preserve"> 475.72</t>
  </si>
  <si>
    <t>159/27</t>
  </si>
  <si>
    <t>RESUL İNCE</t>
  </si>
  <si>
    <t>NURETTİN</t>
  </si>
  <si>
    <t>ORHAN İNCE|NURETTİN
İBRAHİM İNCE|NURETTİN</t>
  </si>
  <si>
    <t>449/4</t>
  </si>
  <si>
    <t>ARSA</t>
  </si>
  <si>
    <t xml:space="preserve"> 475.72</t>
  </si>
  <si>
    <t>152/2</t>
  </si>
  <si>
    <t>FATMA MINAZ</t>
  </si>
  <si>
    <t>ISMAIL</t>
  </si>
  <si>
    <t>449/5</t>
  </si>
  <si>
    <t xml:space="preserve"> 711.06</t>
  </si>
  <si>
    <t>152/2</t>
  </si>
  <si>
    <t>FATMA ZEREN</t>
  </si>
  <si>
    <t>ISMAIL</t>
  </si>
  <si>
    <t>449/5</t>
  </si>
  <si>
    <t xml:space="preserve"> 711.06</t>
  </si>
  <si>
    <t>152/2</t>
  </si>
  <si>
    <t>YAŞAR ISMAIL ZEREN</t>
  </si>
  <si>
    <t>ISMAIL</t>
  </si>
  <si>
    <t>449/5</t>
  </si>
  <si>
    <t xml:space="preserve"> 711.06</t>
  </si>
  <si>
    <t>152/7</t>
  </si>
  <si>
    <t>HANİME ZEREN</t>
  </si>
  <si>
    <t>AHMET</t>
  </si>
  <si>
    <t>AHMET ZEREN|AHMET
ASİYE ZEREN|MUSTAFA
FATMA ARSLAN|MECİT
FATİCE VEREP|MECİT
MUSTAFA ZEREN|MECİT
RABİA EROĞLU|AHMET
HANİME TAVANOĞLU|AHMET
İSMAİL YAZICI|SALİH RIFKI
FATMA KÜÇÜKBİNGÖL|SALİH RIFKI
ASİYE ZEREN|AHMET
RABİA ZEREN|AHMET</t>
  </si>
  <si>
    <t>449/5</t>
  </si>
  <si>
    <t xml:space="preserve"> 711.06</t>
  </si>
  <si>
    <t>159/26</t>
  </si>
  <si>
    <t>DURSUN ALI İNCE</t>
  </si>
  <si>
    <t>SALİH</t>
  </si>
  <si>
    <t>449/5</t>
  </si>
  <si>
    <t xml:space="preserve"> 711.06</t>
  </si>
  <si>
    <t>159/26</t>
  </si>
  <si>
    <t>DURSUN MENAP</t>
  </si>
  <si>
    <t>FATMA EŞİ</t>
  </si>
  <si>
    <t>449/5</t>
  </si>
  <si>
    <t xml:space="preserve"> 711.06</t>
  </si>
  <si>
    <t>159/26</t>
  </si>
  <si>
    <t>EMINE İNCE</t>
  </si>
  <si>
    <t>SALİH</t>
  </si>
  <si>
    <t>449/5</t>
  </si>
  <si>
    <t xml:space="preserve"> 711.06</t>
  </si>
  <si>
    <t>159/26</t>
  </si>
  <si>
    <t>HATICE İNCE</t>
  </si>
  <si>
    <t>SALİH</t>
  </si>
  <si>
    <t>449/5</t>
  </si>
  <si>
    <t xml:space="preserve"> 711.06</t>
  </si>
  <si>
    <t>159/28</t>
  </si>
  <si>
    <t>HANİME ZEREN</t>
  </si>
  <si>
    <t>AHMET</t>
  </si>
  <si>
    <t>AHMET ZEREN|AHMET
ASİYE ZEREN|MUSTAFA
FATMA ARSLAN|MECİT
FATİCE VEREP|MECİT
MUSTAFA ZEREN|MECİT
RABİA EROĞLU|AHMET
HANİME TAVANOĞLU|AHMET
İSMAİL YAZICI|SALİH RIFKI
FATMA KÜÇÜKBİNGÖL|SALİH RIFKI
ASİYE ZEREN|AHMET
RABİA ZEREN|AHMET</t>
  </si>
  <si>
    <t>449/5</t>
  </si>
  <si>
    <t xml:space="preserve"> 711.06</t>
  </si>
  <si>
    <t>154/11</t>
  </si>
  <si>
    <t>MUSTAFA DINÇ</t>
  </si>
  <si>
    <t>SALIH</t>
  </si>
  <si>
    <t>449/6</t>
  </si>
  <si>
    <t xml:space="preserve"> 501.4</t>
  </si>
  <si>
    <t>159/29</t>
  </si>
  <si>
    <t>MUSTAFA İNCE</t>
  </si>
  <si>
    <t>ABDULLAH</t>
  </si>
  <si>
    <t>449/6</t>
  </si>
  <si>
    <t xml:space="preserve"> 501.4</t>
  </si>
  <si>
    <t>159/30</t>
  </si>
  <si>
    <t>SALIH ZEKI İNCE</t>
  </si>
  <si>
    <t>AHMET</t>
  </si>
  <si>
    <t>MUZAFFER İNCE|MEHMET</t>
  </si>
  <si>
    <t>449/6</t>
  </si>
  <si>
    <t xml:space="preserve"> 501.4</t>
  </si>
  <si>
    <t>152/9</t>
  </si>
  <si>
    <t>FATMA KANIK</t>
  </si>
  <si>
    <t>SALIH</t>
  </si>
  <si>
    <t>MUSTAFA KANIK|SALİH
SADİFE KANIK|İBRAHİM
AHMET KANIK|ABDULHAMİT
NİZAM KANIK|ABDÜLHAMİT
FATMA ÇİÇEK|ABDÜLHAMİT</t>
  </si>
  <si>
    <t>450/1</t>
  </si>
  <si>
    <t>ARSA</t>
  </si>
  <si>
    <t xml:space="preserve"> 481.87</t>
  </si>
  <si>
    <t>152/3</t>
  </si>
  <si>
    <t>ABDULLAH MANAP</t>
  </si>
  <si>
    <t>ISMAIL</t>
  </si>
  <si>
    <t>450/2</t>
  </si>
  <si>
    <t>ARSA</t>
  </si>
  <si>
    <t xml:space="preserve"> 499.41</t>
  </si>
  <si>
    <t>149/41</t>
  </si>
  <si>
    <t>FADULA MENAP</t>
  </si>
  <si>
    <t>MUHARREM</t>
  </si>
  <si>
    <t>450/3</t>
  </si>
  <si>
    <t>ARSA</t>
  </si>
  <si>
    <t xml:space="preserve"> 743.63</t>
  </si>
  <si>
    <t>149/41</t>
  </si>
  <si>
    <t>HAYRİ MANAVOĞLU</t>
  </si>
  <si>
    <t>SALİH</t>
  </si>
  <si>
    <t>SERFA MANAP|SALİH
FATMA MENAP|MUSTAFA
MUHAMMET HASAN MENAP|İSMAİL</t>
  </si>
  <si>
    <t>450/3</t>
  </si>
  <si>
    <t>ARSA</t>
  </si>
  <si>
    <t xml:space="preserve"> 743.63</t>
  </si>
  <si>
    <t>149/41</t>
  </si>
  <si>
    <t>İSMAİL KARATAY</t>
  </si>
  <si>
    <t>MUSTAFA</t>
  </si>
  <si>
    <t>BAYRAM KARATAY|İSMAİL
İMDAT KARATAY|İSMAİL
SEDAT KARATAY|İSMAİL</t>
  </si>
  <si>
    <t>450/3</t>
  </si>
  <si>
    <t>ARSA</t>
  </si>
  <si>
    <t xml:space="preserve"> 743.63</t>
  </si>
  <si>
    <t>149/41</t>
  </si>
  <si>
    <t>MUSTAFA MENAP</t>
  </si>
  <si>
    <t>MUHARREM</t>
  </si>
  <si>
    <t>450/3</t>
  </si>
  <si>
    <t>ARSA</t>
  </si>
  <si>
    <t xml:space="preserve"> 743.63</t>
  </si>
  <si>
    <t>149/75</t>
  </si>
  <si>
    <t>ŞABAN MANAP</t>
  </si>
  <si>
    <t>İSMAİL</t>
  </si>
  <si>
    <t>450/3</t>
  </si>
  <si>
    <t>ARSA</t>
  </si>
  <si>
    <t xml:space="preserve"> 743.63</t>
  </si>
  <si>
    <t>151/2</t>
  </si>
  <si>
    <t>MUSTAFA GENEL</t>
  </si>
  <si>
    <t>ABDI</t>
  </si>
  <si>
    <t>450/3</t>
  </si>
  <si>
    <t>ARSA</t>
  </si>
  <si>
    <t xml:space="preserve"> 743.63</t>
  </si>
  <si>
    <t>151/3</t>
  </si>
  <si>
    <t>DURSUN ALI GENEL</t>
  </si>
  <si>
    <t>ALI</t>
  </si>
  <si>
    <t>450/3</t>
  </si>
  <si>
    <t>ARSA</t>
  </si>
  <si>
    <t xml:space="preserve"> 743.63</t>
  </si>
  <si>
    <t>152/11</t>
  </si>
  <si>
    <t>ISMAIL MENAP</t>
  </si>
  <si>
    <t>ŞÜKRÜ</t>
  </si>
  <si>
    <t>450/3</t>
  </si>
  <si>
    <t>ARSA</t>
  </si>
  <si>
    <t xml:space="preserve"> 743.63</t>
  </si>
  <si>
    <t>152/11</t>
  </si>
  <si>
    <t>MEHMET MENAP</t>
  </si>
  <si>
    <t>ŞÜKRÜ</t>
  </si>
  <si>
    <t>450/3</t>
  </si>
  <si>
    <t>ARSA</t>
  </si>
  <si>
    <t xml:space="preserve"> 743.63</t>
  </si>
  <si>
    <t>151/3</t>
  </si>
  <si>
    <t>DURSUN ALI GENEL</t>
  </si>
  <si>
    <t>ALI</t>
  </si>
  <si>
    <t>450/4</t>
  </si>
  <si>
    <t>ARSA</t>
  </si>
  <si>
    <t xml:space="preserve"> 405.11</t>
  </si>
  <si>
    <t>152/8</t>
  </si>
  <si>
    <t>SALIH ZEKI INCE</t>
  </si>
  <si>
    <t>AHMET</t>
  </si>
  <si>
    <t>450/4</t>
  </si>
  <si>
    <t>ARSA</t>
  </si>
  <si>
    <t xml:space="preserve"> 405.11</t>
  </si>
  <si>
    <t>151/2</t>
  </si>
  <si>
    <t>MUSTAFA GENEL</t>
  </si>
  <si>
    <t>ABDI</t>
  </si>
  <si>
    <t>450/5</t>
  </si>
  <si>
    <t>ARSA</t>
  </si>
  <si>
    <t xml:space="preserve"> 468.46</t>
  </si>
  <si>
    <t>152/6</t>
  </si>
  <si>
    <t>FATMA ÖZEN</t>
  </si>
  <si>
    <t>MUSTAFA</t>
  </si>
  <si>
    <t>450/5</t>
  </si>
  <si>
    <t>ARSA</t>
  </si>
  <si>
    <t xml:space="preserve"> 468.46</t>
  </si>
  <si>
    <t>152/6</t>
  </si>
  <si>
    <t>ISMAIL GENEL</t>
  </si>
  <si>
    <t>MUSTAFA</t>
  </si>
  <si>
    <t>450/5</t>
  </si>
  <si>
    <t>ARSA</t>
  </si>
  <si>
    <t xml:space="preserve"> 468.46</t>
  </si>
  <si>
    <t>152/6</t>
  </si>
  <si>
    <t>ISMAIL GENEL</t>
  </si>
  <si>
    <t>MUSTAFA</t>
  </si>
  <si>
    <t>450/5</t>
  </si>
  <si>
    <t>ARSA</t>
  </si>
  <si>
    <t xml:space="preserve"> 468.46</t>
  </si>
  <si>
    <t>152/6</t>
  </si>
  <si>
    <t>SAKINE GENEL</t>
  </si>
  <si>
    <t>MUSTAFA</t>
  </si>
  <si>
    <t>450/5</t>
  </si>
  <si>
    <t>ARSA</t>
  </si>
  <si>
    <t xml:space="preserve"> 468.46</t>
  </si>
  <si>
    <t>152/6</t>
  </si>
  <si>
    <t>SAKİNE GENEL</t>
  </si>
  <si>
    <t>MUSTAFA</t>
  </si>
  <si>
    <t>YAŞAR GENEL|MUSTAFA
İSMAİL GENEL|MUSTAFA
FATMA ÖZEN|MUSTAFA</t>
  </si>
  <si>
    <t>450/5</t>
  </si>
  <si>
    <t>ARSA</t>
  </si>
  <si>
    <t xml:space="preserve"> 468.46</t>
  </si>
  <si>
    <t>152/6</t>
  </si>
  <si>
    <t>YAŞAR GENEL</t>
  </si>
  <si>
    <t>MUSTAFA</t>
  </si>
  <si>
    <t>450/5</t>
  </si>
  <si>
    <t>ARSA</t>
  </si>
  <si>
    <t xml:space="preserve"> 468.46</t>
  </si>
  <si>
    <t>152/6</t>
  </si>
  <si>
    <t>YAŞAR GENEL</t>
  </si>
  <si>
    <t>MUSTAFA</t>
  </si>
  <si>
    <t>450/5</t>
  </si>
  <si>
    <t>ARSA</t>
  </si>
  <si>
    <t xml:space="preserve"> 468.46</t>
  </si>
  <si>
    <t>149/1</t>
  </si>
  <si>
    <t>ŞÜKRÜ KURT</t>
  </si>
  <si>
    <t>HASAN</t>
  </si>
  <si>
    <t>451/1</t>
  </si>
  <si>
    <t>EV VE ARSASI</t>
  </si>
  <si>
    <t xml:space="preserve"> 491.7</t>
  </si>
  <si>
    <t>149/2</t>
  </si>
  <si>
    <t>HANİME ZEREN</t>
  </si>
  <si>
    <t>AHMET</t>
  </si>
  <si>
    <t>AHMET ZEREN|AHMET
ASİYE ZEREN|MUSTAFA
FATMA ARSLAN|MECİT
FATİCE VEREP|MECİT
MUSTAFA ZEREN|MECİT
RABİA EROĞLU|AHMET
HANİME TAVANOĞLU|AHMET
İSMAİL YAZICI|SALİH RIFKI
FATMA KÜÇÜKBİNGÖL|SALİH RIFKI
ASİYE ZEREN|AHMET
RABİA ZEREN|AHMET</t>
  </si>
  <si>
    <t>451/1</t>
  </si>
  <si>
    <t xml:space="preserve"> 491.7</t>
  </si>
  <si>
    <t>149/3</t>
  </si>
  <si>
    <t>ŞÜKRÜ KURT</t>
  </si>
  <si>
    <t>HASAN</t>
  </si>
  <si>
    <t>451/1</t>
  </si>
  <si>
    <t xml:space="preserve"> 491.7</t>
  </si>
  <si>
    <t>159/14</t>
  </si>
  <si>
    <t>ŞÜKRÜ KURT</t>
  </si>
  <si>
    <t>HASAN</t>
  </si>
  <si>
    <t>451/1</t>
  </si>
  <si>
    <t xml:space="preserve"> 491.7</t>
  </si>
  <si>
    <t>149/4</t>
  </si>
  <si>
    <t>MELİHA KANIK</t>
  </si>
  <si>
    <t>MUSTAFA</t>
  </si>
  <si>
    <t>MEHMET GENEL|MUSTAFA
AHMET GENEL|MUSTAFA
ELMAS BAKAL|MUSTAFA</t>
  </si>
  <si>
    <t>451/2</t>
  </si>
  <si>
    <t>ARSA</t>
  </si>
  <si>
    <t xml:space="preserve"> 465.57</t>
  </si>
  <si>
    <t>151/3</t>
  </si>
  <si>
    <t>DURSUN ALI GENEL</t>
  </si>
  <si>
    <t>ALI</t>
  </si>
  <si>
    <t>451/2</t>
  </si>
  <si>
    <t>ARSA</t>
  </si>
  <si>
    <t xml:space="preserve"> 465.57</t>
  </si>
  <si>
    <t>154/11</t>
  </si>
  <si>
    <t>MUSTAFA DINÇ</t>
  </si>
  <si>
    <t>SALIH</t>
  </si>
  <si>
    <t>451/2</t>
  </si>
  <si>
    <t>ARSA</t>
  </si>
  <si>
    <t xml:space="preserve"> 465.57</t>
  </si>
  <si>
    <t>149/5</t>
  </si>
  <si>
    <t>MUSTAFA ÇİÇEK</t>
  </si>
  <si>
    <t>AHMET</t>
  </si>
  <si>
    <t>451/3</t>
  </si>
  <si>
    <t xml:space="preserve"> 491.09</t>
  </si>
  <si>
    <t>149/5</t>
  </si>
  <si>
    <t>ŞÜKRÜ ÇİÇEK</t>
  </si>
  <si>
    <t>AHMET</t>
  </si>
  <si>
    <t>451/3</t>
  </si>
  <si>
    <t xml:space="preserve"> 491.09</t>
  </si>
  <si>
    <t>149/5</t>
  </si>
  <si>
    <t>YILMAZ ÇİÇEK</t>
  </si>
  <si>
    <t>AHMET</t>
  </si>
  <si>
    <t>451/3</t>
  </si>
  <si>
    <t xml:space="preserve"> 491.09</t>
  </si>
  <si>
    <t>149/2</t>
  </si>
  <si>
    <t>HANİME ZEREN</t>
  </si>
  <si>
    <t>AHMET</t>
  </si>
  <si>
    <t>AHMET ZEREN|AHMET
ASİYE ZEREN|MUSTAFA
FATMA ARSLAN|MECİT
FATİCE VEREP|MECİT
MUSTAFA ZEREN|MECİT
RABİA EROĞLU|AHMET
HANİME TAVANOĞLU|AHMET
İSMAİL YAZICI|SALİH RIFKI
FATMA KÜÇÜKBİNGÖL|SALİH RIFKI
ASİYE ZEREN|AHMET
RABİA ZEREN|AHMET</t>
  </si>
  <si>
    <t>452/1</t>
  </si>
  <si>
    <t>ARSA</t>
  </si>
  <si>
    <t xml:space="preserve"> 1866.39</t>
  </si>
  <si>
    <t>149/6</t>
  </si>
  <si>
    <t>AHMET GÖZ</t>
  </si>
  <si>
    <t>SALİH</t>
  </si>
  <si>
    <t>452/2</t>
  </si>
  <si>
    <t>ARSA</t>
  </si>
  <si>
    <t xml:space="preserve"> 614.29</t>
  </si>
  <si>
    <t>149/5</t>
  </si>
  <si>
    <t>MUSTAFA ÇİÇEK</t>
  </si>
  <si>
    <t>AHMET</t>
  </si>
  <si>
    <t>452/3</t>
  </si>
  <si>
    <t>ARSA</t>
  </si>
  <si>
    <t xml:space="preserve"> 645.81</t>
  </si>
  <si>
    <t>149/5</t>
  </si>
  <si>
    <t>ŞÜKRÜ ÇİÇEK</t>
  </si>
  <si>
    <t>AHMET</t>
  </si>
  <si>
    <t>452/3</t>
  </si>
  <si>
    <t>ARSA</t>
  </si>
  <si>
    <t xml:space="preserve"> 645.81</t>
  </si>
  <si>
    <t>149/5</t>
  </si>
  <si>
    <t>YILMAZ ÇİÇEK</t>
  </si>
  <si>
    <t>AHMET</t>
  </si>
  <si>
    <t>452/3</t>
  </si>
  <si>
    <t>ARSA</t>
  </si>
  <si>
    <t xml:space="preserve"> 645.81</t>
  </si>
  <si>
    <t>149/7</t>
  </si>
  <si>
    <t>CEVDET ÇİÇEK</t>
  </si>
  <si>
    <t>FEHMİ</t>
  </si>
  <si>
    <t>452/3</t>
  </si>
  <si>
    <t>ARSA</t>
  </si>
  <si>
    <t xml:space="preserve"> 645.81</t>
  </si>
  <si>
    <t>149/8</t>
  </si>
  <si>
    <t>FADULA ÇİÇEK</t>
  </si>
  <si>
    <t>MUHARREM</t>
  </si>
  <si>
    <t>SALİH ÇİÇEK|FEHMİ
CEVDET ÇİCEK|FEHMİ
FATMA BEKTAŞ|FEHMİ
NERİMAN MENAP|FEHMİ
ELVAN KARATAY|FEHMİ
SERVER ÇİCEK|FEHMİ</t>
  </si>
  <si>
    <t>452/3</t>
  </si>
  <si>
    <t>ARSA</t>
  </si>
  <si>
    <t xml:space="preserve"> 645.81</t>
  </si>
  <si>
    <t>149/9</t>
  </si>
  <si>
    <t>YAŞAR ZEREN</t>
  </si>
  <si>
    <t>SALİM</t>
  </si>
  <si>
    <t>452/4</t>
  </si>
  <si>
    <t>ARSA</t>
  </si>
  <si>
    <t xml:space="preserve"> 405.46</t>
  </si>
  <si>
    <t>154/9</t>
  </si>
  <si>
    <t>MEHMET AYGÜN</t>
  </si>
  <si>
    <t>MEHMET</t>
  </si>
  <si>
    <t>453/1</t>
  </si>
  <si>
    <t>ARSA</t>
  </si>
  <si>
    <t xml:space="preserve"> 427.47</t>
  </si>
  <si>
    <t>154/9</t>
  </si>
  <si>
    <t>MUSTAFA AYGÜN</t>
  </si>
  <si>
    <t>MEHMET</t>
  </si>
  <si>
    <t>453/1</t>
  </si>
  <si>
    <t>ARSA</t>
  </si>
  <si>
    <t xml:space="preserve"> 427.47</t>
  </si>
  <si>
    <t>154/9</t>
  </si>
  <si>
    <t>SALIH ZEKI AYGÜN</t>
  </si>
  <si>
    <t>MEHMET</t>
  </si>
  <si>
    <t>453/1</t>
  </si>
  <si>
    <t>ARSA</t>
  </si>
  <si>
    <t xml:space="preserve"> 427.47</t>
  </si>
  <si>
    <t>149/2</t>
  </si>
  <si>
    <t>HANİME ZEREN</t>
  </si>
  <si>
    <t>AHMET</t>
  </si>
  <si>
    <t>AHMET ZEREN|AHMET
ASİYE ZEREN|MUSTAFA
FATMA ARSLAN|MECİT
FATİCE VEREP|MECİT
MUSTAFA ZEREN|MECİT
RABİA EROĞLU|AHMET
HANİME TAVANOĞLU|AHMET
İSMAİL YAZICI|SALİH RIFKI
FATMA KÜÇÜKBİNGÖL|SALİH RIFKI
ASİYE ZEREN|AHMET
RABİA ZEREN|AHMET</t>
  </si>
  <si>
    <t>453/2</t>
  </si>
  <si>
    <t>ARSA</t>
  </si>
  <si>
    <t xml:space="preserve"> 1000</t>
  </si>
  <si>
    <t>149/9</t>
  </si>
  <si>
    <t>YAŞAR ZEREN</t>
  </si>
  <si>
    <t>SALİM</t>
  </si>
  <si>
    <t>454/1</t>
  </si>
  <si>
    <t>ARSA</t>
  </si>
  <si>
    <t xml:space="preserve"> 511.64</t>
  </si>
  <si>
    <t>149/9</t>
  </si>
  <si>
    <t>YAŞAR ZEREN</t>
  </si>
  <si>
    <t>SALİM</t>
  </si>
  <si>
    <t>454/2</t>
  </si>
  <si>
    <t xml:space="preserve"> 1327.93</t>
  </si>
  <si>
    <t>149/10</t>
  </si>
  <si>
    <t>ASİYE EROĞLU</t>
  </si>
  <si>
    <t>MEHMET</t>
  </si>
  <si>
    <t>454/2</t>
  </si>
  <si>
    <t xml:space="preserve"> 1327.93</t>
  </si>
  <si>
    <t>149/10</t>
  </si>
  <si>
    <t>LÜTFÜYE GENEL</t>
  </si>
  <si>
    <t>MEHMET</t>
  </si>
  <si>
    <t>454/2</t>
  </si>
  <si>
    <t xml:space="preserve"> 1327.93</t>
  </si>
  <si>
    <t>149/10</t>
  </si>
  <si>
    <t>YUNUS ÇİÇEK</t>
  </si>
  <si>
    <t>MEHMET</t>
  </si>
  <si>
    <t>454/2</t>
  </si>
  <si>
    <t xml:space="preserve"> 1327.93</t>
  </si>
  <si>
    <t>149/11</t>
  </si>
  <si>
    <t>MUSTAFA ÇİÇEK</t>
  </si>
  <si>
    <t>ALİ</t>
  </si>
  <si>
    <t>İSMAİL HAKKI ÇİCEK|ALİ
FATMA ÇİCEK|ALİ</t>
  </si>
  <si>
    <t>454/2</t>
  </si>
  <si>
    <t xml:space="preserve"> 1327.93</t>
  </si>
  <si>
    <t>149/74</t>
  </si>
  <si>
    <t>SALİH ZEKİ İNCE</t>
  </si>
  <si>
    <t>AHMET</t>
  </si>
  <si>
    <t>454/2</t>
  </si>
  <si>
    <t xml:space="preserve"> 1327.93</t>
  </si>
  <si>
    <t>154/9</t>
  </si>
  <si>
    <t>MEHMET AYGÜN</t>
  </si>
  <si>
    <t>MEHMET</t>
  </si>
  <si>
    <t>454/2</t>
  </si>
  <si>
    <t xml:space="preserve"> 1327.93</t>
  </si>
  <si>
    <t>154/9</t>
  </si>
  <si>
    <t>MUSTAFA AYGÜN</t>
  </si>
  <si>
    <t>MEHMET</t>
  </si>
  <si>
    <t>454/2</t>
  </si>
  <si>
    <t xml:space="preserve"> 1327.93</t>
  </si>
  <si>
    <t>154/9</t>
  </si>
  <si>
    <t>SALIH ZEKI AYGÜN</t>
  </si>
  <si>
    <t>MEHMET</t>
  </si>
  <si>
    <t>454/2</t>
  </si>
  <si>
    <t xml:space="preserve"> 1327.93</t>
  </si>
  <si>
    <t>154/12</t>
  </si>
  <si>
    <t>HALIL EROĞLU</t>
  </si>
  <si>
    <t>KIBAR</t>
  </si>
  <si>
    <t>454/2</t>
  </si>
  <si>
    <t xml:space="preserve"> 1327.93</t>
  </si>
  <si>
    <t>154/12</t>
  </si>
  <si>
    <t>ISMAIL EROĞLU</t>
  </si>
  <si>
    <t>KIBAR</t>
  </si>
  <si>
    <t>454/2</t>
  </si>
  <si>
    <t xml:space="preserve"> 1327.93</t>
  </si>
  <si>
    <t>151/1</t>
  </si>
  <si>
    <t>ABDULLAH MANAP</t>
  </si>
  <si>
    <t>ISMAIL</t>
  </si>
  <si>
    <t>455/1</t>
  </si>
  <si>
    <t>ARSA</t>
  </si>
  <si>
    <t xml:space="preserve"> 1010.34</t>
  </si>
  <si>
    <t>151/1</t>
  </si>
  <si>
    <t>DURSUN MANAP</t>
  </si>
  <si>
    <t>ISMAIL</t>
  </si>
  <si>
    <t>455/1</t>
  </si>
  <si>
    <t>ARSA</t>
  </si>
  <si>
    <t xml:space="preserve"> 1010.34</t>
  </si>
  <si>
    <t>151/1</t>
  </si>
  <si>
    <t>ŞABAN MANAP</t>
  </si>
  <si>
    <t>ISMAIL</t>
  </si>
  <si>
    <t>455/1</t>
  </si>
  <si>
    <t>ARSA</t>
  </si>
  <si>
    <t xml:space="preserve"> 1010.34</t>
  </si>
  <si>
    <t>151/13</t>
  </si>
  <si>
    <t>CEMILE BEKTAŞ</t>
  </si>
  <si>
    <t>ŞÜKRÜ</t>
  </si>
  <si>
    <t>455/2</t>
  </si>
  <si>
    <t>ARSA</t>
  </si>
  <si>
    <t xml:space="preserve"> 488.52</t>
  </si>
  <si>
    <t>151/13</t>
  </si>
  <si>
    <t>CEMILE BEKTAŞ</t>
  </si>
  <si>
    <t>ŞÜKRÜ</t>
  </si>
  <si>
    <t>455/2</t>
  </si>
  <si>
    <t>ARSA</t>
  </si>
  <si>
    <t xml:space="preserve"> 488.52</t>
  </si>
  <si>
    <t>151/14</t>
  </si>
  <si>
    <t>CEMILE BEKTAŞ</t>
  </si>
  <si>
    <t>ŞÜKRÜ</t>
  </si>
  <si>
    <t>NURİYE GEVİNOĞLU|ŞÜKRÜ
MERYEM ŞAHİN|ŞÜKRÜ</t>
  </si>
  <si>
    <t>455/2</t>
  </si>
  <si>
    <t>ARSA</t>
  </si>
  <si>
    <t xml:space="preserve"> 488.52</t>
  </si>
  <si>
    <t>151/16</t>
  </si>
  <si>
    <t>EMINE GENEL</t>
  </si>
  <si>
    <t>MEHMET</t>
  </si>
  <si>
    <t>455/2</t>
  </si>
  <si>
    <t>ARSA</t>
  </si>
  <si>
    <t xml:space="preserve"> 488.52</t>
  </si>
  <si>
    <t>151/17</t>
  </si>
  <si>
    <t>ŞAKIR INCE</t>
  </si>
  <si>
    <t>AHMET</t>
  </si>
  <si>
    <t>455/2</t>
  </si>
  <si>
    <t>ARSA</t>
  </si>
  <si>
    <t xml:space="preserve"> 488.52</t>
  </si>
  <si>
    <t>151/11</t>
  </si>
  <si>
    <t>AHMET GENEL</t>
  </si>
  <si>
    <t>SALIH</t>
  </si>
  <si>
    <t>455/3</t>
  </si>
  <si>
    <t>ARSA</t>
  </si>
  <si>
    <t xml:space="preserve"> 701.28</t>
  </si>
  <si>
    <t>151/11</t>
  </si>
  <si>
    <t>ENGİN GENEL</t>
  </si>
  <si>
    <t>HAMIT</t>
  </si>
  <si>
    <t>ERSİN GENEL|HAMİT
EMİN GENEL |HAMİT
DURSUN GENEL|AHMET</t>
  </si>
  <si>
    <t>455/3</t>
  </si>
  <si>
    <t>ARSA</t>
  </si>
  <si>
    <t xml:space="preserve"> 701.28</t>
  </si>
  <si>
    <t>151/11</t>
  </si>
  <si>
    <t>FATMA GENEL</t>
  </si>
  <si>
    <t>MUSTAFA</t>
  </si>
  <si>
    <t>455/3</t>
  </si>
  <si>
    <t>ARSA</t>
  </si>
  <si>
    <t xml:space="preserve"> 701.28</t>
  </si>
  <si>
    <t>151/11</t>
  </si>
  <si>
    <t>ISMAIL GENEL</t>
  </si>
  <si>
    <t>MUSTAFA</t>
  </si>
  <si>
    <t>455/3</t>
  </si>
  <si>
    <t>ARSA</t>
  </si>
  <si>
    <t xml:space="preserve"> 701.28</t>
  </si>
  <si>
    <t>151/11</t>
  </si>
  <si>
    <t>MEHMET GENEL</t>
  </si>
  <si>
    <t>HAMIT</t>
  </si>
  <si>
    <t>455/3</t>
  </si>
  <si>
    <t>ARSA</t>
  </si>
  <si>
    <t xml:space="preserve"> 701.28</t>
  </si>
  <si>
    <t>151/11</t>
  </si>
  <si>
    <t>MEHMET GENEL</t>
  </si>
  <si>
    <t>SALIH</t>
  </si>
  <si>
    <t>455/3</t>
  </si>
  <si>
    <t>ARSA</t>
  </si>
  <si>
    <t xml:space="preserve"> 701.28</t>
  </si>
  <si>
    <t>151/11</t>
  </si>
  <si>
    <t>MUSTAFA GENEL</t>
  </si>
  <si>
    <t>SALIH</t>
  </si>
  <si>
    <t>455/3</t>
  </si>
  <si>
    <t>ARSA</t>
  </si>
  <si>
    <t xml:space="preserve"> 701.28</t>
  </si>
  <si>
    <t>151/11</t>
  </si>
  <si>
    <t>SAKINE GENEL</t>
  </si>
  <si>
    <t>MUSTAFA</t>
  </si>
  <si>
    <t>455/3</t>
  </si>
  <si>
    <t>ARSA</t>
  </si>
  <si>
    <t xml:space="preserve"> 701.28</t>
  </si>
  <si>
    <t>151/11</t>
  </si>
  <si>
    <t>SAKİNE GENEL</t>
  </si>
  <si>
    <t>MUSTAFA</t>
  </si>
  <si>
    <t>YAŞAR GENEL|MUSTAFA
İSMAİL GENEL|MUSTAFA
FATMA ÖZEN|MUSTAFA</t>
  </si>
  <si>
    <t>455/3</t>
  </si>
  <si>
    <t>ARSA</t>
  </si>
  <si>
    <t xml:space="preserve"> 701.28</t>
  </si>
  <si>
    <t>151/11</t>
  </si>
  <si>
    <t>YAŞAR GENEL</t>
  </si>
  <si>
    <t>MUSTAFA</t>
  </si>
  <si>
    <t>455/3</t>
  </si>
  <si>
    <t>ARSA</t>
  </si>
  <si>
    <t xml:space="preserve"> 701.28</t>
  </si>
  <si>
    <t>151/15</t>
  </si>
  <si>
    <t>FATMA İNAN</t>
  </si>
  <si>
    <t>SALİH</t>
  </si>
  <si>
    <t>CEMAL GENEL|SALİH
REMZİ GENEL|SALİH
SALİH GENEL|SALİH
BAYRAM GENEL|SALİH
İSMAİL GENEL|SALİH
NERİMAN ÖZKAN|SALİH
MELİHA KANIK|MUSTAFA
MEHMET GENEL|MUSTAFA
AHMET GENEL|MUSTAFA
ELMAS BAKAL|MUSTAFA</t>
  </si>
  <si>
    <t>455/3</t>
  </si>
  <si>
    <t>ARSA</t>
  </si>
  <si>
    <t xml:space="preserve"> 701.28</t>
  </si>
  <si>
    <t>151/8</t>
  </si>
  <si>
    <t>FATULA INAN</t>
  </si>
  <si>
    <t>KIBAR</t>
  </si>
  <si>
    <t>455/4</t>
  </si>
  <si>
    <t>ARSA</t>
  </si>
  <si>
    <t xml:space="preserve"> 415.46</t>
  </si>
  <si>
    <t>151/9</t>
  </si>
  <si>
    <t>ŞÜKRÜ KURT</t>
  </si>
  <si>
    <t>HASAN</t>
  </si>
  <si>
    <t>455/4</t>
  </si>
  <si>
    <t>ARSA</t>
  </si>
  <si>
    <t xml:space="preserve"> 415.46</t>
  </si>
  <si>
    <t>151/12</t>
  </si>
  <si>
    <t>FATMA İNAN</t>
  </si>
  <si>
    <t>SALİH</t>
  </si>
  <si>
    <t>CEMAL GENEL|SALİH
REMZİ GENEL|SALİH
SALİH GENEL|SALİH
BAYRAM GENEL|SALİH
İSMAİL GENEL|SALİH
NERİMAN ÖZKAN|SALİH
MELİHA KANIK|MUSTAFA
MEHMET GENEL|MUSTAFA
AHMET GENEL|MUSTAFA
ELMAS BAKAL|MUSTAFA</t>
  </si>
  <si>
    <t>456/1</t>
  </si>
  <si>
    <t>ARSA</t>
  </si>
  <si>
    <t xml:space="preserve"> 350.75</t>
  </si>
  <si>
    <t>151/15</t>
  </si>
  <si>
    <t>FATMA İNAN</t>
  </si>
  <si>
    <t>SALİH</t>
  </si>
  <si>
    <t>CEMAL GENEL|SALİH
REMZİ GENEL|SALİH
SALİH GENEL|SALİH
BAYRAM GENEL|SALİH
İSMAİL GENEL|SALİH
NERİMAN ÖZKAN|SALİH
MELİHA KANIK|MUSTAFA
MEHMET GENEL|MUSTAFA
AHMET GENEL|MUSTAFA
ELMAS BAKAL|MUSTAFA</t>
  </si>
  <si>
    <t>456/1</t>
  </si>
  <si>
    <t>ARSA</t>
  </si>
  <si>
    <t xml:space="preserve"> 350.75</t>
  </si>
  <si>
    <t>151/3</t>
  </si>
  <si>
    <t>DURSUN ALI GENEL</t>
  </si>
  <si>
    <t>ALI</t>
  </si>
  <si>
    <t>456/2</t>
  </si>
  <si>
    <t xml:space="preserve"> 399.07</t>
  </si>
  <si>
    <t>151/4</t>
  </si>
  <si>
    <t>FATMA İNAN</t>
  </si>
  <si>
    <t>SALİH</t>
  </si>
  <si>
    <t>CEMAL GENEL|SALİH
REMZİ GENEL|SALİH
SALİH GENEL|SALİH
BAYRAM GENEL|SALİH
İSMAİL GENEL|SALİH
NERİMAN ÖZKAN|SALİH
MELİHA KANIK|MUSTAFA
MEHMET GENEL|MUSTAFA
AHMET GENEL|MUSTAFA
ELMAS BAKAL|MUSTAFA</t>
  </si>
  <si>
    <t>456/2</t>
  </si>
  <si>
    <t xml:space="preserve"> 399.07</t>
  </si>
  <si>
    <t>151/5</t>
  </si>
  <si>
    <t>DURSUN ALI GENEL</t>
  </si>
  <si>
    <t>ALI</t>
  </si>
  <si>
    <t>456/2</t>
  </si>
  <si>
    <t xml:space="preserve"> 399.07</t>
  </si>
  <si>
    <t>149/38</t>
  </si>
  <si>
    <t>HAVVA GENEL</t>
  </si>
  <si>
    <t>AHMET</t>
  </si>
  <si>
    <t>456/3</t>
  </si>
  <si>
    <t>ARSA</t>
  </si>
  <si>
    <t xml:space="preserve"> 350.52</t>
  </si>
  <si>
    <t>149/38</t>
  </si>
  <si>
    <t>MEHMET GENEL</t>
  </si>
  <si>
    <t>NİHAT</t>
  </si>
  <si>
    <t>456/3</t>
  </si>
  <si>
    <t>ARSA</t>
  </si>
  <si>
    <t xml:space="preserve"> 350.52</t>
  </si>
  <si>
    <t>149/38</t>
  </si>
  <si>
    <t>MUSTAFA GENEL</t>
  </si>
  <si>
    <t>NİHAT</t>
  </si>
  <si>
    <t>456/3</t>
  </si>
  <si>
    <t>ARSA</t>
  </si>
  <si>
    <t xml:space="preserve"> 350.52</t>
  </si>
  <si>
    <t>149/38</t>
  </si>
  <si>
    <t>NİHAT GENEL</t>
  </si>
  <si>
    <t>NİHAT</t>
  </si>
  <si>
    <t>456/3</t>
  </si>
  <si>
    <t>ARSA</t>
  </si>
  <si>
    <t xml:space="preserve"> 350.52</t>
  </si>
  <si>
    <t>149/38</t>
  </si>
  <si>
    <t>ÖZER GENEL</t>
  </si>
  <si>
    <t>NİHAT</t>
  </si>
  <si>
    <t>456/3</t>
  </si>
  <si>
    <t>ARSA</t>
  </si>
  <si>
    <t xml:space="preserve"> 350.52</t>
  </si>
  <si>
    <t>149/38</t>
  </si>
  <si>
    <t>ÖZGÜR GENEL</t>
  </si>
  <si>
    <t>NİHAT</t>
  </si>
  <si>
    <t>456/3</t>
  </si>
  <si>
    <t>ARSA</t>
  </si>
  <si>
    <t xml:space="preserve"> 350.52</t>
  </si>
  <si>
    <t>151/6</t>
  </si>
  <si>
    <t>MEHMET GENEL</t>
  </si>
  <si>
    <t>NIHAT</t>
  </si>
  <si>
    <t>456/3</t>
  </si>
  <si>
    <t>ARSA</t>
  </si>
  <si>
    <t xml:space="preserve"> 350.52</t>
  </si>
  <si>
    <t>151/6</t>
  </si>
  <si>
    <t>MUSTAFA GENEL</t>
  </si>
  <si>
    <t>NIHAT</t>
  </si>
  <si>
    <t>456/3</t>
  </si>
  <si>
    <t>ARSA</t>
  </si>
  <si>
    <t xml:space="preserve"> 350.52</t>
  </si>
  <si>
    <t>151/6</t>
  </si>
  <si>
    <t>NIHAT GENEL</t>
  </si>
  <si>
    <t>NIHAT</t>
  </si>
  <si>
    <t>456/3</t>
  </si>
  <si>
    <t>ARSA</t>
  </si>
  <si>
    <t xml:space="preserve"> 350.52</t>
  </si>
  <si>
    <t>151/6</t>
  </si>
  <si>
    <t>ÖZER GENEL</t>
  </si>
  <si>
    <t>NIHAT</t>
  </si>
  <si>
    <t>456/3</t>
  </si>
  <si>
    <t>ARSA</t>
  </si>
  <si>
    <t xml:space="preserve"> 350.52</t>
  </si>
  <si>
    <t>151/6</t>
  </si>
  <si>
    <t>ÖZGÜR GENEL</t>
  </si>
  <si>
    <t>NIHAT</t>
  </si>
  <si>
    <t>456/3</t>
  </si>
  <si>
    <t>ARSA</t>
  </si>
  <si>
    <t xml:space="preserve"> 350.52</t>
  </si>
  <si>
    <t>151/7</t>
  </si>
  <si>
    <t>HATICE GENEL</t>
  </si>
  <si>
    <t>ISMAIL</t>
  </si>
  <si>
    <t>456/4</t>
  </si>
  <si>
    <t xml:space="preserve"> 787.1</t>
  </si>
  <si>
    <t>151/10</t>
  </si>
  <si>
    <t>HATICE GENEL</t>
  </si>
  <si>
    <t>ISMAIL</t>
  </si>
  <si>
    <t>456/4</t>
  </si>
  <si>
    <t xml:space="preserve"> 787.1</t>
  </si>
  <si>
    <t>151/11</t>
  </si>
  <si>
    <t>AHMET GENEL</t>
  </si>
  <si>
    <t>SALIH</t>
  </si>
  <si>
    <t>456/4</t>
  </si>
  <si>
    <t xml:space="preserve"> 787.1</t>
  </si>
  <si>
    <t>151/11</t>
  </si>
  <si>
    <t>ENGİN GENEL</t>
  </si>
  <si>
    <t>HAMIT</t>
  </si>
  <si>
    <t>ERSİN GENEL|HAMİT
EMİN GENEL |HAMİT
DURSUN GENEL|AHMET</t>
  </si>
  <si>
    <t>456/4</t>
  </si>
  <si>
    <t xml:space="preserve"> 787.1</t>
  </si>
  <si>
    <t>151/11</t>
  </si>
  <si>
    <t>FATMA GENEL</t>
  </si>
  <si>
    <t>MUSTAFA</t>
  </si>
  <si>
    <t>456/4</t>
  </si>
  <si>
    <t xml:space="preserve"> 787.1</t>
  </si>
  <si>
    <t>151/11</t>
  </si>
  <si>
    <t>ISMAIL GENEL</t>
  </si>
  <si>
    <t>MUSTAFA</t>
  </si>
  <si>
    <t>456/4</t>
  </si>
  <si>
    <t xml:space="preserve"> 787.1</t>
  </si>
  <si>
    <t>151/11</t>
  </si>
  <si>
    <t>MEHMET GENEL</t>
  </si>
  <si>
    <t>HAMIT</t>
  </si>
  <si>
    <t>456/4</t>
  </si>
  <si>
    <t xml:space="preserve"> 787.1</t>
  </si>
  <si>
    <t>151/11</t>
  </si>
  <si>
    <t>MEHMET GENEL</t>
  </si>
  <si>
    <t>SALIH</t>
  </si>
  <si>
    <t>456/4</t>
  </si>
  <si>
    <t xml:space="preserve"> 787.1</t>
  </si>
  <si>
    <t>151/11</t>
  </si>
  <si>
    <t>MUSTAFA GENEL</t>
  </si>
  <si>
    <t>SALIH</t>
  </si>
  <si>
    <t>456/4</t>
  </si>
  <si>
    <t xml:space="preserve"> 787.1</t>
  </si>
  <si>
    <t>151/11</t>
  </si>
  <si>
    <t>SAKINE GENEL</t>
  </si>
  <si>
    <t>MUSTAFA</t>
  </si>
  <si>
    <t>456/4</t>
  </si>
  <si>
    <t xml:space="preserve"> 787.1</t>
  </si>
  <si>
    <t>151/11</t>
  </si>
  <si>
    <t>SAKİNE GENEL</t>
  </si>
  <si>
    <t>MUSTAFA</t>
  </si>
  <si>
    <t>YAŞAR GENEL|MUSTAFA
İSMAİL GENEL|MUSTAFA
FATMA ÖZEN|MUSTAFA</t>
  </si>
  <si>
    <t>456/4</t>
  </si>
  <si>
    <t xml:space="preserve"> 787.1</t>
  </si>
  <si>
    <t>151/11</t>
  </si>
  <si>
    <t>YAŞAR GENEL</t>
  </si>
  <si>
    <t>MUSTAFA</t>
  </si>
  <si>
    <t>456/4</t>
  </si>
  <si>
    <t xml:space="preserve"> 787.1</t>
  </si>
  <si>
    <t>148/1</t>
  </si>
  <si>
    <t>KEMAL İNCE</t>
  </si>
  <si>
    <t>ALİ</t>
  </si>
  <si>
    <t>457/1</t>
  </si>
  <si>
    <t>ARSA</t>
  </si>
  <si>
    <t xml:space="preserve"> 799.89</t>
  </si>
  <si>
    <t>148/3</t>
  </si>
  <si>
    <t>FATMA GENEL</t>
  </si>
  <si>
    <t>ABDULLAH</t>
  </si>
  <si>
    <t>457/1</t>
  </si>
  <si>
    <t>ARSA</t>
  </si>
  <si>
    <t xml:space="preserve"> 799.89</t>
  </si>
  <si>
    <t>148/3</t>
  </si>
  <si>
    <t>İSMAİL HAKKI İNCE</t>
  </si>
  <si>
    <t>ABDULLAH</t>
  </si>
  <si>
    <t>457/1</t>
  </si>
  <si>
    <t>ARSA</t>
  </si>
  <si>
    <t xml:space="preserve"> 799.89</t>
  </si>
  <si>
    <t>148/3</t>
  </si>
  <si>
    <t>MUSTAFA İNCE</t>
  </si>
  <si>
    <t>ABDULLAH</t>
  </si>
  <si>
    <t>457/1</t>
  </si>
  <si>
    <t>ARSA</t>
  </si>
  <si>
    <t xml:space="preserve"> 799.89</t>
  </si>
  <si>
    <t>148/2</t>
  </si>
  <si>
    <t>ŞAKİR İNCE</t>
  </si>
  <si>
    <t>AHMET</t>
  </si>
  <si>
    <t>457/2</t>
  </si>
  <si>
    <t>ARSA</t>
  </si>
  <si>
    <t xml:space="preserve"> 2221.85</t>
  </si>
  <si>
    <t>148/3</t>
  </si>
  <si>
    <t>FATMA GENEL</t>
  </si>
  <si>
    <t>ABDULLAH</t>
  </si>
  <si>
    <t>457/2</t>
  </si>
  <si>
    <t>ARSA</t>
  </si>
  <si>
    <t xml:space="preserve"> 2221.85</t>
  </si>
  <si>
    <t>148/3</t>
  </si>
  <si>
    <t>İSMAİL HAKKI İNCE</t>
  </si>
  <si>
    <t>ABDULLAH</t>
  </si>
  <si>
    <t>457/2</t>
  </si>
  <si>
    <t>ARSA</t>
  </si>
  <si>
    <t xml:space="preserve"> 2221.85</t>
  </si>
  <si>
    <t>148/3</t>
  </si>
  <si>
    <t>MUSTAFA İNCE</t>
  </si>
  <si>
    <t>ABDULLAH</t>
  </si>
  <si>
    <t>457/2</t>
  </si>
  <si>
    <t>ARSA</t>
  </si>
  <si>
    <t xml:space="preserve"> 2221.85</t>
  </si>
  <si>
    <t>148/4</t>
  </si>
  <si>
    <t>HAMİT İNCE</t>
  </si>
  <si>
    <t>ALİ</t>
  </si>
  <si>
    <t>457/2</t>
  </si>
  <si>
    <t>ARSA</t>
  </si>
  <si>
    <t xml:space="preserve"> 2221.85</t>
  </si>
  <si>
    <t>148/5</t>
  </si>
  <si>
    <t>ŞAKİR İNCE</t>
  </si>
  <si>
    <t>AHMET</t>
  </si>
  <si>
    <t>457/2</t>
  </si>
  <si>
    <t>ARSA</t>
  </si>
  <si>
    <t xml:space="preserve"> 2221.85</t>
  </si>
  <si>
    <t>148/6</t>
  </si>
  <si>
    <t>MUZAFFER İNCE</t>
  </si>
  <si>
    <t>MEHMET</t>
  </si>
  <si>
    <t>457/2</t>
  </si>
  <si>
    <t>ARSA</t>
  </si>
  <si>
    <t xml:space="preserve"> 2221.85</t>
  </si>
  <si>
    <t>154/10</t>
  </si>
  <si>
    <t>ISMAIL ŞEN</t>
  </si>
  <si>
    <t>TEVFIK</t>
  </si>
  <si>
    <t>457/2</t>
  </si>
  <si>
    <t>ARSA</t>
  </si>
  <si>
    <t xml:space="preserve"> 2221.85</t>
  </si>
  <si>
    <t>154/10</t>
  </si>
  <si>
    <t>MUSTAFA ŞEN</t>
  </si>
  <si>
    <t>TEVFIK</t>
  </si>
  <si>
    <t>457/2</t>
  </si>
  <si>
    <t>ARSA</t>
  </si>
  <si>
    <t xml:space="preserve"> 2221.85</t>
  </si>
  <si>
    <t>154/10</t>
  </si>
  <si>
    <t>ŞÜKRÜ ŞEN</t>
  </si>
  <si>
    <t>TEVFIK</t>
  </si>
  <si>
    <t>457/2</t>
  </si>
  <si>
    <t>ARSA</t>
  </si>
  <si>
    <t xml:space="preserve"> 2221.85</t>
  </si>
  <si>
    <t>154/11</t>
  </si>
  <si>
    <t>MUSTAFA DINÇ</t>
  </si>
  <si>
    <t>SALIH</t>
  </si>
  <si>
    <t>457/2</t>
  </si>
  <si>
    <t>ARSA</t>
  </si>
  <si>
    <t xml:space="preserve"> 2221.85</t>
  </si>
  <si>
    <t>154/13</t>
  </si>
  <si>
    <t>MUSTAFA AK</t>
  </si>
  <si>
    <t>AZIZ</t>
  </si>
  <si>
    <t>457/2</t>
  </si>
  <si>
    <t>ARSA</t>
  </si>
  <si>
    <t xml:space="preserve"> 2221.85</t>
  </si>
  <si>
    <t>154/21</t>
  </si>
  <si>
    <t>ALI KUTBAY</t>
  </si>
  <si>
    <t>MUSTAFA</t>
  </si>
  <si>
    <t>457/2</t>
  </si>
  <si>
    <t>ARSA</t>
  </si>
  <si>
    <t xml:space="preserve"> 2221.85</t>
  </si>
  <si>
    <t>154/21</t>
  </si>
  <si>
    <t>MUSTAFA KUTBAY</t>
  </si>
  <si>
    <t>MUSTAFA</t>
  </si>
  <si>
    <t>457/2</t>
  </si>
  <si>
    <t>ARSA</t>
  </si>
  <si>
    <t xml:space="preserve"> 2221.85</t>
  </si>
  <si>
    <t>148/30</t>
  </si>
  <si>
    <t>İSMAİL MANAP</t>
  </si>
  <si>
    <t>ŞÜKRÜ</t>
  </si>
  <si>
    <t>457/3</t>
  </si>
  <si>
    <t xml:space="preserve"> 1027</t>
  </si>
  <si>
    <t>148/10</t>
  </si>
  <si>
    <t>ELMAS MANAVOĞLU</t>
  </si>
  <si>
    <t>DURSUN</t>
  </si>
  <si>
    <t>457/4</t>
  </si>
  <si>
    <t xml:space="preserve"> 634.68</t>
  </si>
  <si>
    <t>148/10</t>
  </si>
  <si>
    <t>HAYRİ MANAVOĞLU</t>
  </si>
  <si>
    <t>SALİH</t>
  </si>
  <si>
    <t>SERFA MANAP|SALİH
FATMA MENAP|MUSTAFA
MUHAMMET HASAN MENAP|İSMAİL</t>
  </si>
  <si>
    <t>457/4</t>
  </si>
  <si>
    <t xml:space="preserve"> 634.68</t>
  </si>
  <si>
    <t>148/31</t>
  </si>
  <si>
    <t>HÜSEYİN ZEREN</t>
  </si>
  <si>
    <t>FERŞAT</t>
  </si>
  <si>
    <t>457/4</t>
  </si>
  <si>
    <t xml:space="preserve"> 634.68</t>
  </si>
  <si>
    <t>154/13</t>
  </si>
  <si>
    <t>MUSTAFA AK</t>
  </si>
  <si>
    <t>AZIZ</t>
  </si>
  <si>
    <t>457/4</t>
  </si>
  <si>
    <t xml:space="preserve"> 634.68</t>
  </si>
  <si>
    <t>149/28</t>
  </si>
  <si>
    <t>ABDULLAH MANAP</t>
  </si>
  <si>
    <t>İSMAİL</t>
  </si>
  <si>
    <t>458/1</t>
  </si>
  <si>
    <t xml:space="preserve"> 603.05</t>
  </si>
  <si>
    <t>149/28</t>
  </si>
  <si>
    <t>DURSUN MANAP</t>
  </si>
  <si>
    <t>İSMAİL</t>
  </si>
  <si>
    <t>458/1</t>
  </si>
  <si>
    <t xml:space="preserve"> 603.05</t>
  </si>
  <si>
    <t>153/1</t>
  </si>
  <si>
    <t>DURSUN MANAP</t>
  </si>
  <si>
    <t>ISMAIL</t>
  </si>
  <si>
    <t>458/1</t>
  </si>
  <si>
    <t xml:space="preserve"> 603.05</t>
  </si>
  <si>
    <t>153/2</t>
  </si>
  <si>
    <t>ABDULLAH MANAP</t>
  </si>
  <si>
    <t>ISMAIL</t>
  </si>
  <si>
    <t>458/1</t>
  </si>
  <si>
    <t xml:space="preserve"> 603.05</t>
  </si>
  <si>
    <t>153/2</t>
  </si>
  <si>
    <t>DURSUN MANAP</t>
  </si>
  <si>
    <t>ISMAIL</t>
  </si>
  <si>
    <t>458/1</t>
  </si>
  <si>
    <t xml:space="preserve"> 603.05</t>
  </si>
  <si>
    <t>153/2</t>
  </si>
  <si>
    <t>ŞABAN MANAP</t>
  </si>
  <si>
    <t>ISMAIL</t>
  </si>
  <si>
    <t>458/1</t>
  </si>
  <si>
    <t xml:space="preserve"> 603.05</t>
  </si>
  <si>
    <t>149/15</t>
  </si>
  <si>
    <t>ABDULLAH TAHAN</t>
  </si>
  <si>
    <t>ŞÜKRÜ</t>
  </si>
  <si>
    <t>459/1</t>
  </si>
  <si>
    <t>ARSA</t>
  </si>
  <si>
    <t xml:space="preserve"> 587.72</t>
  </si>
  <si>
    <t>149/16</t>
  </si>
  <si>
    <t>HEDİYE TAHAN</t>
  </si>
  <si>
    <t>İLYAS</t>
  </si>
  <si>
    <t>AYŞE UÇAN|AHMET
MUSTAFA TAHAN|AHMET</t>
  </si>
  <si>
    <t>459/1</t>
  </si>
  <si>
    <t>ARSA</t>
  </si>
  <si>
    <t xml:space="preserve"> 587.72</t>
  </si>
  <si>
    <t>154/11</t>
  </si>
  <si>
    <t>MUSTAFA DINÇ</t>
  </si>
  <si>
    <t>SALIH</t>
  </si>
  <si>
    <t>459/2</t>
  </si>
  <si>
    <t>ARSA</t>
  </si>
  <si>
    <t xml:space="preserve"> 577.15</t>
  </si>
  <si>
    <t>150/1</t>
  </si>
  <si>
    <t>ŞABAN MENAP</t>
  </si>
  <si>
    <t>ISMAIL</t>
  </si>
  <si>
    <t>459/3</t>
  </si>
  <si>
    <t xml:space="preserve"> 574.78</t>
  </si>
  <si>
    <t>149/26</t>
  </si>
  <si>
    <t>EMİNE MANAP</t>
  </si>
  <si>
    <t>MEHMET</t>
  </si>
  <si>
    <t>459/4</t>
  </si>
  <si>
    <t xml:space="preserve"> 700.52</t>
  </si>
  <si>
    <t>149/31</t>
  </si>
  <si>
    <t>EMİNE MANAP</t>
  </si>
  <si>
    <t>MEHMET</t>
  </si>
  <si>
    <t>FATMA KELEŞ|ŞAKİR
ERDOĞAN MANAP|ŞAKİR
RECEP MANAP|ŞAKİR</t>
  </si>
  <si>
    <t>459/4</t>
  </si>
  <si>
    <t xml:space="preserve"> 700.52</t>
  </si>
  <si>
    <t>154/9</t>
  </si>
  <si>
    <t>MEHMET AYGÜN</t>
  </si>
  <si>
    <t>MEHMET</t>
  </si>
  <si>
    <t>459/4</t>
  </si>
  <si>
    <t xml:space="preserve"> 700.52</t>
  </si>
  <si>
    <t>154/9</t>
  </si>
  <si>
    <t>MUSTAFA AYGÜN</t>
  </si>
  <si>
    <t>MEHMET</t>
  </si>
  <si>
    <t>459/4</t>
  </si>
  <si>
    <t xml:space="preserve"> 700.52</t>
  </si>
  <si>
    <t>154/9</t>
  </si>
  <si>
    <t>SALIH ZEKI AYGÜN</t>
  </si>
  <si>
    <t>MEHMET</t>
  </si>
  <si>
    <t>459/4</t>
  </si>
  <si>
    <t xml:space="preserve"> 700.52</t>
  </si>
  <si>
    <t>149/27</t>
  </si>
  <si>
    <t>AHMET GENEL</t>
  </si>
  <si>
    <t>SALİH</t>
  </si>
  <si>
    <t>459/5</t>
  </si>
  <si>
    <t xml:space="preserve"> 600.89</t>
  </si>
  <si>
    <t>149/27</t>
  </si>
  <si>
    <t>MEHMET GENEL</t>
  </si>
  <si>
    <t>SALİH</t>
  </si>
  <si>
    <t>459/5</t>
  </si>
  <si>
    <t xml:space="preserve"> 600.89</t>
  </si>
  <si>
    <t>149/27</t>
  </si>
  <si>
    <t>MUSTAFA GENEL</t>
  </si>
  <si>
    <t>SALİH</t>
  </si>
  <si>
    <t>459/5</t>
  </si>
  <si>
    <t xml:space="preserve"> 600.89</t>
  </si>
  <si>
    <t>149/29</t>
  </si>
  <si>
    <t>ENGİN GENEL</t>
  </si>
  <si>
    <t>HAMİT</t>
  </si>
  <si>
    <t>ERSİN GENEL|HAMİT
EMİN GENEL|HAMİT
DURSUN GENEL|AHMET</t>
  </si>
  <si>
    <t>459/5</t>
  </si>
  <si>
    <t xml:space="preserve"> 600.89</t>
  </si>
  <si>
    <t>149/22</t>
  </si>
  <si>
    <t>CEMAL GENEL</t>
  </si>
  <si>
    <t>SALİH</t>
  </si>
  <si>
    <t>459/6</t>
  </si>
  <si>
    <t>ARSA</t>
  </si>
  <si>
    <t xml:space="preserve"> 840.21</t>
  </si>
  <si>
    <t>149/23</t>
  </si>
  <si>
    <t>CEMAL GENEL</t>
  </si>
  <si>
    <t>SALİH</t>
  </si>
  <si>
    <t>459/6</t>
  </si>
  <si>
    <t>ARSA</t>
  </si>
  <si>
    <t xml:space="preserve"> 840.21</t>
  </si>
  <si>
    <t>149/24</t>
  </si>
  <si>
    <t>FATMA GENEL</t>
  </si>
  <si>
    <t>AHMET</t>
  </si>
  <si>
    <t>MUSTAFA GENEL|AHMET
FATMA SEZGİN|AHMET
AYSEL ŞAKAR|AHMET
NAİLE ÇİCEK|AHMET
EMRİYE ÇİCEK|AHMET
NAZMİYE ENGİN|AHMET
YASEMİN GENEL|FEVZİ
BÜNYAMİN GENEL|FEVZİ
RABİA GENEL|FEVZİ
MUSTAFA GENEL|FEVZİ</t>
  </si>
  <si>
    <t>459/6</t>
  </si>
  <si>
    <t>ARSA</t>
  </si>
  <si>
    <t xml:space="preserve"> 840.21</t>
  </si>
  <si>
    <t>149/21</t>
  </si>
  <si>
    <t>MEHMET GENEL</t>
  </si>
  <si>
    <t>HAMİT</t>
  </si>
  <si>
    <t>459/7</t>
  </si>
  <si>
    <t>ARSA</t>
  </si>
  <si>
    <t xml:space="preserve"> 804.22</t>
  </si>
  <si>
    <t>149/44</t>
  </si>
  <si>
    <t>MEHMET GENEL</t>
  </si>
  <si>
    <t>HAMİT</t>
  </si>
  <si>
    <t>459/7</t>
  </si>
  <si>
    <t>ARSA</t>
  </si>
  <si>
    <t xml:space="preserve"> 804.22</t>
  </si>
  <si>
    <t>149/14</t>
  </si>
  <si>
    <t>AHMET GENEL</t>
  </si>
  <si>
    <t>SALİH</t>
  </si>
  <si>
    <t>460/1</t>
  </si>
  <si>
    <t xml:space="preserve"> 636.63</t>
  </si>
  <si>
    <t>149/14</t>
  </si>
  <si>
    <t>FATMA ÖZEN</t>
  </si>
  <si>
    <t>MUSTAFA</t>
  </si>
  <si>
    <t>460/1</t>
  </si>
  <si>
    <t xml:space="preserve"> 636.63</t>
  </si>
  <si>
    <t>149/14</t>
  </si>
  <si>
    <t>İSMAİL GENEL</t>
  </si>
  <si>
    <t>MUSTAFA</t>
  </si>
  <si>
    <t>460/1</t>
  </si>
  <si>
    <t xml:space="preserve"> 636.63</t>
  </si>
  <si>
    <t>149/14</t>
  </si>
  <si>
    <t>MEHMET GENEL</t>
  </si>
  <si>
    <t>HAMİT</t>
  </si>
  <si>
    <t>460/1</t>
  </si>
  <si>
    <t xml:space="preserve"> 636.63</t>
  </si>
  <si>
    <t>149/14</t>
  </si>
  <si>
    <t>MEHMET GENEL</t>
  </si>
  <si>
    <t>SALİH</t>
  </si>
  <si>
    <t>460/1</t>
  </si>
  <si>
    <t xml:space="preserve"> 636.63</t>
  </si>
  <si>
    <t>149/14</t>
  </si>
  <si>
    <t>MUSTAFA GENEL</t>
  </si>
  <si>
    <t>SALİH</t>
  </si>
  <si>
    <t>460/1</t>
  </si>
  <si>
    <t xml:space="preserve"> 636.63</t>
  </si>
  <si>
    <t>149/14</t>
  </si>
  <si>
    <t>SAKINE GENEL</t>
  </si>
  <si>
    <t>MUSTAFA</t>
  </si>
  <si>
    <t>460/1</t>
  </si>
  <si>
    <t xml:space="preserve"> 636.63</t>
  </si>
  <si>
    <t>149/14</t>
  </si>
  <si>
    <t>SAKİNE GENEL</t>
  </si>
  <si>
    <t>MUSTAFA</t>
  </si>
  <si>
    <t>YAŞAR GENEL|MUSTAFA
İSMAİL GENEL|MUSTAFA
FATMA ÖZEN|MUSTAFA</t>
  </si>
  <si>
    <t>460/1</t>
  </si>
  <si>
    <t xml:space="preserve"> 636.63</t>
  </si>
  <si>
    <t>149/14</t>
  </si>
  <si>
    <t>YAŞAR GENEL</t>
  </si>
  <si>
    <t>MUSTAFA</t>
  </si>
  <si>
    <t>460/1</t>
  </si>
  <si>
    <t xml:space="preserve"> 636.63</t>
  </si>
  <si>
    <t>149/17</t>
  </si>
  <si>
    <t>İSMAİL KARATAY</t>
  </si>
  <si>
    <t>MUSTAFA</t>
  </si>
  <si>
    <t>BAYRAM KARATAY|İSMAİL
İMDAT KARATAY|İSMAİL
SEDAT KARATAY|İSMAİL</t>
  </si>
  <si>
    <t>460/1</t>
  </si>
  <si>
    <t xml:space="preserve"> 636.63</t>
  </si>
  <si>
    <t>149/17</t>
  </si>
  <si>
    <t>MUSTAFA MENAP</t>
  </si>
  <si>
    <t>MUHARREM</t>
  </si>
  <si>
    <t>460/1</t>
  </si>
  <si>
    <t xml:space="preserve"> 636.63</t>
  </si>
  <si>
    <t>154/13</t>
  </si>
  <si>
    <t>MUSTAFA AK</t>
  </si>
  <si>
    <t>AZIZ</t>
  </si>
  <si>
    <t>460/1</t>
  </si>
  <si>
    <t xml:space="preserve"> 636.63</t>
  </si>
  <si>
    <t>149/18</t>
  </si>
  <si>
    <t>FATMA GENEL</t>
  </si>
  <si>
    <t>MUSTAFA</t>
  </si>
  <si>
    <t>460/2</t>
  </si>
  <si>
    <t xml:space="preserve"> 544.91</t>
  </si>
  <si>
    <t>149/18</t>
  </si>
  <si>
    <t>İSMAİL GENEL</t>
  </si>
  <si>
    <t>MUSTAFA</t>
  </si>
  <si>
    <t>460/2</t>
  </si>
  <si>
    <t xml:space="preserve"> 544.91</t>
  </si>
  <si>
    <t>149/18</t>
  </si>
  <si>
    <t>SAKINE GENEL</t>
  </si>
  <si>
    <t>MUSTAFA</t>
  </si>
  <si>
    <t>460/2</t>
  </si>
  <si>
    <t xml:space="preserve"> 544.91</t>
  </si>
  <si>
    <t>149/18</t>
  </si>
  <si>
    <t>SAKİNE GENEL</t>
  </si>
  <si>
    <t>MUSTAFA</t>
  </si>
  <si>
    <t>YAŞAR GENEL|MUSTAFA
İSMAİL GENEL|MUSTAFA
FATMA ÖZEN|MUSTAFA</t>
  </si>
  <si>
    <t>460/2</t>
  </si>
  <si>
    <t xml:space="preserve"> 544.91</t>
  </si>
  <si>
    <t>149/18</t>
  </si>
  <si>
    <t>YAŞAR GENEL</t>
  </si>
  <si>
    <t>MUSTAFA</t>
  </si>
  <si>
    <t>460/2</t>
  </si>
  <si>
    <t xml:space="preserve"> 544.91</t>
  </si>
  <si>
    <t>149/75</t>
  </si>
  <si>
    <t>ŞABAN MANAP</t>
  </si>
  <si>
    <t>İSMAİL</t>
  </si>
  <si>
    <t>461/1</t>
  </si>
  <si>
    <t>ARSA</t>
  </si>
  <si>
    <t xml:space="preserve"> 926.08</t>
  </si>
  <si>
    <t>149/76</t>
  </si>
  <si>
    <t>ŞABAN MANAP</t>
  </si>
  <si>
    <t>İSMAİL</t>
  </si>
  <si>
    <t>461/1</t>
  </si>
  <si>
    <t>ARSA</t>
  </si>
  <si>
    <t xml:space="preserve"> 926.08</t>
  </si>
  <si>
    <t>149/77</t>
  </si>
  <si>
    <t>AZİZE ÜNAL</t>
  </si>
  <si>
    <t>KATİP</t>
  </si>
  <si>
    <t>MUHAMMET İNCİ|KATİP
ZEKİ MANAP|DURSUN
ŞEREF MANAP|DURSUN
ELMAS MANAVOĞLU|DURSUN</t>
  </si>
  <si>
    <t>461/1</t>
  </si>
  <si>
    <t>ARSA</t>
  </si>
  <si>
    <t xml:space="preserve"> 926.08</t>
  </si>
  <si>
    <t>149/20</t>
  </si>
  <si>
    <t>DURSUN MENAP</t>
  </si>
  <si>
    <t>İSMAİL</t>
  </si>
  <si>
    <t>462/1</t>
  </si>
  <si>
    <t>ARSA</t>
  </si>
  <si>
    <t xml:space="preserve"> 1116.89</t>
  </si>
  <si>
    <t>149/20</t>
  </si>
  <si>
    <t>ŞABAN MENAP</t>
  </si>
  <si>
    <t>İSMAİL</t>
  </si>
  <si>
    <t>462/1</t>
  </si>
  <si>
    <t>ARSA</t>
  </si>
  <si>
    <t xml:space="preserve"> 1116.89</t>
  </si>
  <si>
    <t>149/28</t>
  </si>
  <si>
    <t>ABDULLAH MANAP</t>
  </si>
  <si>
    <t>İSMAİL</t>
  </si>
  <si>
    <t>462/1</t>
  </si>
  <si>
    <t>ARSA</t>
  </si>
  <si>
    <t xml:space="preserve"> 1116.89</t>
  </si>
  <si>
    <t>149/28</t>
  </si>
  <si>
    <t>DURSUN MANAP</t>
  </si>
  <si>
    <t>İSMAİL</t>
  </si>
  <si>
    <t>462/1</t>
  </si>
  <si>
    <t>ARSA</t>
  </si>
  <si>
    <t xml:space="preserve"> 1116.89</t>
  </si>
  <si>
    <t>149/25</t>
  </si>
  <si>
    <t>MEHMET GENEL</t>
  </si>
  <si>
    <t>ABDURRAHMAN</t>
  </si>
  <si>
    <t>HAVVA GENEL|ABDURRAHMAN
AZİZE GENEL|ABDURRAHMAN
YAŞAR GENEL|ABDURRAHMAN
MEHMET GENEL|ABDURRAHMAN</t>
  </si>
  <si>
    <t>462/2</t>
  </si>
  <si>
    <t>ARSA</t>
  </si>
  <si>
    <t xml:space="preserve"> 552.01</t>
  </si>
  <si>
    <t>149/39</t>
  </si>
  <si>
    <t>FATMA GENEL</t>
  </si>
  <si>
    <t>MUSTAFA</t>
  </si>
  <si>
    <t>462/2</t>
  </si>
  <si>
    <t>ARSA</t>
  </si>
  <si>
    <t xml:space="preserve"> 552.01</t>
  </si>
  <si>
    <t>149/39</t>
  </si>
  <si>
    <t>İSMAİL GENEL</t>
  </si>
  <si>
    <t>MUSTAFA</t>
  </si>
  <si>
    <t>462/2</t>
  </si>
  <si>
    <t>ARSA</t>
  </si>
  <si>
    <t xml:space="preserve"> 552.01</t>
  </si>
  <si>
    <t>149/39</t>
  </si>
  <si>
    <t>SAKINE GENEL</t>
  </si>
  <si>
    <t>MUSTAFA</t>
  </si>
  <si>
    <t>462/2</t>
  </si>
  <si>
    <t>ARSA</t>
  </si>
  <si>
    <t xml:space="preserve"> 552.01</t>
  </si>
  <si>
    <t>149/39</t>
  </si>
  <si>
    <t>SAKİNE GENEL</t>
  </si>
  <si>
    <t>MUSTAFA</t>
  </si>
  <si>
    <t>YAŞAR GENEL|MUSTAFA
İSMAİL GENEL|MUSTAFA
FATMA ÖZEN|MUSTAFA</t>
  </si>
  <si>
    <t>462/2</t>
  </si>
  <si>
    <t>ARSA</t>
  </si>
  <si>
    <t xml:space="preserve"> 552.01</t>
  </si>
  <si>
    <t>149/39</t>
  </si>
  <si>
    <t>YAŞAR GENEL</t>
  </si>
  <si>
    <t>MUSTAFA</t>
  </si>
  <si>
    <t>462/2</t>
  </si>
  <si>
    <t>ARSA</t>
  </si>
  <si>
    <t xml:space="preserve"> 552.01</t>
  </si>
  <si>
    <t>149/41</t>
  </si>
  <si>
    <t>FADULA MENAP</t>
  </si>
  <si>
    <t>MUHARREM</t>
  </si>
  <si>
    <t>462/2</t>
  </si>
  <si>
    <t>ARSA</t>
  </si>
  <si>
    <t xml:space="preserve"> 552.01</t>
  </si>
  <si>
    <t>149/41</t>
  </si>
  <si>
    <t>HAYRİ MANAVOĞLU</t>
  </si>
  <si>
    <t>SALİH</t>
  </si>
  <si>
    <t>SERFA MANAP|SALİH
FATMA MENAP|MUSTAFA
MUHAMMET HASAN MENAP|İSMAİL</t>
  </si>
  <si>
    <t>462/2</t>
  </si>
  <si>
    <t>ARSA</t>
  </si>
  <si>
    <t xml:space="preserve"> 552.01</t>
  </si>
  <si>
    <t>149/41</t>
  </si>
  <si>
    <t>İSMAİL KARATAY</t>
  </si>
  <si>
    <t>MUSTAFA</t>
  </si>
  <si>
    <t>BAYRAM KARATAY|İSMAİL
İMDAT KARATAY|İSMAİL
SEDAT KARATAY|İSMAİL</t>
  </si>
  <si>
    <t>462/2</t>
  </si>
  <si>
    <t>ARSA</t>
  </si>
  <si>
    <t xml:space="preserve"> 552.01</t>
  </si>
  <si>
    <t>149/41</t>
  </si>
  <si>
    <t>MUSTAFA MENAP</t>
  </si>
  <si>
    <t>MUHARREM</t>
  </si>
  <si>
    <t>462/2</t>
  </si>
  <si>
    <t>ARSA</t>
  </si>
  <si>
    <t xml:space="preserve"> 552.01</t>
  </si>
  <si>
    <t>154/13</t>
  </si>
  <si>
    <t>MUSTAFA AK</t>
  </si>
  <si>
    <t>AZIZ</t>
  </si>
  <si>
    <t>462/2</t>
  </si>
  <si>
    <t>ARSA</t>
  </si>
  <si>
    <t xml:space="preserve"> 552.01</t>
  </si>
  <si>
    <t>149/30</t>
  </si>
  <si>
    <t>DURSUN GENEL</t>
  </si>
  <si>
    <t>AHMET</t>
  </si>
  <si>
    <t>462/3</t>
  </si>
  <si>
    <t>ARSA</t>
  </si>
  <si>
    <t xml:space="preserve"> 481.59</t>
  </si>
  <si>
    <t>149/29</t>
  </si>
  <si>
    <t>ENGİN GENEL</t>
  </si>
  <si>
    <t>HAMİT</t>
  </si>
  <si>
    <t>ERSİN GENEL|HAMİT
EMİN GENEL|HAMİT
DURSUN GENEL|AHMET</t>
  </si>
  <si>
    <t>462/4</t>
  </si>
  <si>
    <t>ARSA</t>
  </si>
  <si>
    <t xml:space="preserve"> 589.38</t>
  </si>
  <si>
    <t>149/32</t>
  </si>
  <si>
    <t>FATMA ZEREN</t>
  </si>
  <si>
    <t>MEHMET</t>
  </si>
  <si>
    <t>462/4</t>
  </si>
  <si>
    <t>ARSA</t>
  </si>
  <si>
    <t xml:space="preserve"> 589.38</t>
  </si>
  <si>
    <t>149/32</t>
  </si>
  <si>
    <t>MUSTAFA ÇİÇEK</t>
  </si>
  <si>
    <t>MEHMET</t>
  </si>
  <si>
    <t>462/4</t>
  </si>
  <si>
    <t>ARSA</t>
  </si>
  <si>
    <t xml:space="preserve"> 589.38</t>
  </si>
  <si>
    <t>149/33</t>
  </si>
  <si>
    <t>ALİ SOYLU</t>
  </si>
  <si>
    <t>MECİT</t>
  </si>
  <si>
    <t>462/5</t>
  </si>
  <si>
    <t>ARSA</t>
  </si>
  <si>
    <t xml:space="preserve"> 792.32</t>
  </si>
  <si>
    <t>149/34</t>
  </si>
  <si>
    <t>MUSTAFA İLHAN</t>
  </si>
  <si>
    <t>MAHMUT</t>
  </si>
  <si>
    <t>İSMAİL İLHAN|MAHMUT</t>
  </si>
  <si>
    <t>462/5</t>
  </si>
  <si>
    <t>ARSA</t>
  </si>
  <si>
    <t xml:space="preserve"> 792.32</t>
  </si>
  <si>
    <t>149/35</t>
  </si>
  <si>
    <t>HAYRULLAH ÖZEN</t>
  </si>
  <si>
    <t>HAMİT</t>
  </si>
  <si>
    <t>AYŞE TOPRAK|HAMİT
CEMİLE FİDAN|HAMİT
FATMA ATAMER|HAMİT</t>
  </si>
  <si>
    <t>462/5</t>
  </si>
  <si>
    <t>ARSA</t>
  </si>
  <si>
    <t xml:space="preserve"> 792.32</t>
  </si>
  <si>
    <t>154/11</t>
  </si>
  <si>
    <t>MUSTAFA DINÇ</t>
  </si>
  <si>
    <t>SALIH</t>
  </si>
  <si>
    <t>462/5</t>
  </si>
  <si>
    <t>ARSA</t>
  </si>
  <si>
    <t xml:space="preserve"> 792.32</t>
  </si>
  <si>
    <t>149/36</t>
  </si>
  <si>
    <t>AHMET ZİYA DÜZGÜN</t>
  </si>
  <si>
    <t>HALİT</t>
  </si>
  <si>
    <t>462/6</t>
  </si>
  <si>
    <t>ARSA</t>
  </si>
  <si>
    <t xml:space="preserve"> 1208.46</t>
  </si>
  <si>
    <t>149/36</t>
  </si>
  <si>
    <t>HAVVA GENEL</t>
  </si>
  <si>
    <t>AHMET</t>
  </si>
  <si>
    <t>462/6</t>
  </si>
  <si>
    <t>ARSA</t>
  </si>
  <si>
    <t xml:space="preserve"> 1208.46</t>
  </si>
  <si>
    <t>149/38</t>
  </si>
  <si>
    <t>HAVVA GENEL</t>
  </si>
  <si>
    <t>AHMET</t>
  </si>
  <si>
    <t>462/6</t>
  </si>
  <si>
    <t>ARSA</t>
  </si>
  <si>
    <t xml:space="preserve"> 1208.46</t>
  </si>
  <si>
    <t>149/38</t>
  </si>
  <si>
    <t>MEHMET GENEL</t>
  </si>
  <si>
    <t>NİHAT</t>
  </si>
  <si>
    <t>462/6</t>
  </si>
  <si>
    <t>ARSA</t>
  </si>
  <si>
    <t xml:space="preserve"> 1208.46</t>
  </si>
  <si>
    <t>149/38</t>
  </si>
  <si>
    <t>MUSTAFA GENEL</t>
  </si>
  <si>
    <t>NİHAT</t>
  </si>
  <si>
    <t>462/6</t>
  </si>
  <si>
    <t>ARSA</t>
  </si>
  <si>
    <t xml:space="preserve"> 1208.46</t>
  </si>
  <si>
    <t>149/38</t>
  </si>
  <si>
    <t>NİHAT GENEL</t>
  </si>
  <si>
    <t>NİHAT</t>
  </si>
  <si>
    <t>462/6</t>
  </si>
  <si>
    <t>ARSA</t>
  </si>
  <si>
    <t xml:space="preserve"> 1208.46</t>
  </si>
  <si>
    <t>149/38</t>
  </si>
  <si>
    <t>ÖZER GENEL</t>
  </si>
  <si>
    <t>NİHAT</t>
  </si>
  <si>
    <t>462/6</t>
  </si>
  <si>
    <t>ARSA</t>
  </si>
  <si>
    <t xml:space="preserve"> 1208.46</t>
  </si>
  <si>
    <t>149/38</t>
  </si>
  <si>
    <t>ÖZGÜR GENEL</t>
  </si>
  <si>
    <t>NİHAT</t>
  </si>
  <si>
    <t>462/6</t>
  </si>
  <si>
    <t>ARSA</t>
  </si>
  <si>
    <t xml:space="preserve"> 1208.46</t>
  </si>
  <si>
    <t>154/25</t>
  </si>
  <si>
    <t>HAVVA GENEL</t>
  </si>
  <si>
    <t>AHMET</t>
  </si>
  <si>
    <t>462/6</t>
  </si>
  <si>
    <t>ARSA</t>
  </si>
  <si>
    <t xml:space="preserve"> 1208.46</t>
  </si>
  <si>
    <t>154/25</t>
  </si>
  <si>
    <t>MEHMET GENEL</t>
  </si>
  <si>
    <t>NIHAT</t>
  </si>
  <si>
    <t>462/6</t>
  </si>
  <si>
    <t>ARSA</t>
  </si>
  <si>
    <t xml:space="preserve"> 1208.46</t>
  </si>
  <si>
    <t>154/25</t>
  </si>
  <si>
    <t>MUSTAFA GENEL</t>
  </si>
  <si>
    <t>NIHAT</t>
  </si>
  <si>
    <t>462/6</t>
  </si>
  <si>
    <t>ARSA</t>
  </si>
  <si>
    <t xml:space="preserve"> 1208.46</t>
  </si>
  <si>
    <t>154/25</t>
  </si>
  <si>
    <t>NIHAT GENEL</t>
  </si>
  <si>
    <t>NIHAT</t>
  </si>
  <si>
    <t>462/6</t>
  </si>
  <si>
    <t>ARSA</t>
  </si>
  <si>
    <t xml:space="preserve"> 1208.46</t>
  </si>
  <si>
    <t>154/25</t>
  </si>
  <si>
    <t>ÖZER GENEL</t>
  </si>
  <si>
    <t>NIHAT</t>
  </si>
  <si>
    <t>462/6</t>
  </si>
  <si>
    <t>ARSA</t>
  </si>
  <si>
    <t xml:space="preserve"> 1208.46</t>
  </si>
  <si>
    <t>154/25</t>
  </si>
  <si>
    <t>ÖZGÜR GENEL</t>
  </si>
  <si>
    <t>NIHAT</t>
  </si>
  <si>
    <t>462/6</t>
  </si>
  <si>
    <t>ARSA</t>
  </si>
  <si>
    <t xml:space="preserve"> 1208.46</t>
  </si>
  <si>
    <t>149/19</t>
  </si>
  <si>
    <t>İSMAİL MANAP</t>
  </si>
  <si>
    <t>ŞÜKRÜ</t>
  </si>
  <si>
    <t>MEHMET MANAP|ŞÜKRÜ
CEMİLE BEKTAŞ|ŞÜKRÜ
NURİYE GEVİNOĞLU|ŞÜKRÜ
MERYEM ŞAHİN|ŞÜKRÜ</t>
  </si>
  <si>
    <t>463/1</t>
  </si>
  <si>
    <t>ARSA</t>
  </si>
  <si>
    <t xml:space="preserve"> 470.01</t>
  </si>
  <si>
    <t>149/19</t>
  </si>
  <si>
    <t>İSMAİL MANAP</t>
  </si>
  <si>
    <t>ŞÜKRÜ</t>
  </si>
  <si>
    <t>463/1</t>
  </si>
  <si>
    <t>ARSA</t>
  </si>
  <si>
    <t xml:space="preserve"> 470.01</t>
  </si>
  <si>
    <t>149/19</t>
  </si>
  <si>
    <t>MEHMET MANAP</t>
  </si>
  <si>
    <t>ŞÜKRÜ</t>
  </si>
  <si>
    <t>463/1</t>
  </si>
  <si>
    <t>ARSA</t>
  </si>
  <si>
    <t xml:space="preserve"> 470.01</t>
  </si>
  <si>
    <t>149/46</t>
  </si>
  <si>
    <t>ENGİN GENEL</t>
  </si>
  <si>
    <t>HAMİT</t>
  </si>
  <si>
    <t>ERSİN GENEL|HAMİT
EMİN GENEL|HAMİT
DURSUN GENEL|AHMET</t>
  </si>
  <si>
    <t>463/1</t>
  </si>
  <si>
    <t>ARSA</t>
  </si>
  <si>
    <t xml:space="preserve"> 470.01</t>
  </si>
  <si>
    <t>149/47</t>
  </si>
  <si>
    <t>AHMET GÖZ</t>
  </si>
  <si>
    <t>SALİH</t>
  </si>
  <si>
    <t>463/1</t>
  </si>
  <si>
    <t>ARSA</t>
  </si>
  <si>
    <t xml:space="preserve"> 470.01</t>
  </si>
  <si>
    <t>149/43</t>
  </si>
  <si>
    <t>ENGİN GENEL</t>
  </si>
  <si>
    <t>HAMİT</t>
  </si>
  <si>
    <t>ERSİN GENEL|HAMİT
EMİN GENEL|HAMİT
DURSUN GENEL|AHMET</t>
  </si>
  <si>
    <t>463/2</t>
  </si>
  <si>
    <t>ARSA</t>
  </si>
  <si>
    <t xml:space="preserve"> 403.92</t>
  </si>
  <si>
    <t>149/43</t>
  </si>
  <si>
    <t>SAKİNE GENEL</t>
  </si>
  <si>
    <t>MUSTAFA</t>
  </si>
  <si>
    <t>YAŞAR GENEL|MUSTAFA
İSMAİL GENEL|MUSTAFA
FATMA ÖZEN|MUSTAFA</t>
  </si>
  <si>
    <t>463/2</t>
  </si>
  <si>
    <t>ARSA</t>
  </si>
  <si>
    <t xml:space="preserve"> 403.92</t>
  </si>
  <si>
    <t>149/45</t>
  </si>
  <si>
    <t>FATMA KAYA</t>
  </si>
  <si>
    <t>İSMAİL</t>
  </si>
  <si>
    <t>463/2</t>
  </si>
  <si>
    <t>ARSA</t>
  </si>
  <si>
    <t xml:space="preserve"> 403.92</t>
  </si>
  <si>
    <t>149/46</t>
  </si>
  <si>
    <t>ENGİN GENEL</t>
  </si>
  <si>
    <t>HAMİT</t>
  </si>
  <si>
    <t>ERSİN GENEL|HAMİT
EMİN GENEL|HAMİT
DURSUN GENEL|AHMET</t>
  </si>
  <si>
    <t>463/2</t>
  </si>
  <si>
    <t>ARSA</t>
  </si>
  <si>
    <t xml:space="preserve"> 403.92</t>
  </si>
  <si>
    <t>154/13</t>
  </si>
  <si>
    <t>MUSTAFA AK</t>
  </si>
  <si>
    <t>AZIZ</t>
  </si>
  <si>
    <t>463/2</t>
  </si>
  <si>
    <t>ARSA</t>
  </si>
  <si>
    <t xml:space="preserve"> 403.92</t>
  </si>
  <si>
    <t>154/13</t>
  </si>
  <si>
    <t>MUSTAFA AK</t>
  </si>
  <si>
    <t>AZIZ</t>
  </si>
  <si>
    <t>464/1</t>
  </si>
  <si>
    <t>ARSA</t>
  </si>
  <si>
    <t xml:space="preserve"> 410.77</t>
  </si>
  <si>
    <t>149/57</t>
  </si>
  <si>
    <t>AHMET HÜSEYİN PAŞAOĞLU</t>
  </si>
  <si>
    <t>MUSTAFA</t>
  </si>
  <si>
    <t>464/2</t>
  </si>
  <si>
    <t xml:space="preserve"> 1497.29</t>
  </si>
  <si>
    <t>149/69</t>
  </si>
  <si>
    <t>AHMET HÜSEYİN PAŞAOĞLU</t>
  </si>
  <si>
    <t>MUSTAFA</t>
  </si>
  <si>
    <t>464/2</t>
  </si>
  <si>
    <t xml:space="preserve"> 1497.29</t>
  </si>
  <si>
    <t>149/48</t>
  </si>
  <si>
    <t>ALİ GENEL</t>
  </si>
  <si>
    <t>ABDİ</t>
  </si>
  <si>
    <t>464/3</t>
  </si>
  <si>
    <t>ARSA</t>
  </si>
  <si>
    <t xml:space="preserve"> 1675.55</t>
  </si>
  <si>
    <t>149/48</t>
  </si>
  <si>
    <t>ALİ GENEL</t>
  </si>
  <si>
    <t>ABDİ</t>
  </si>
  <si>
    <t>465/1</t>
  </si>
  <si>
    <t>ARSA</t>
  </si>
  <si>
    <t xml:space="preserve"> 798.14</t>
  </si>
  <si>
    <t>149/37</t>
  </si>
  <si>
    <t>FATMA GENEL</t>
  </si>
  <si>
    <t>ABDULLAH</t>
  </si>
  <si>
    <t>465/2</t>
  </si>
  <si>
    <t>ARSA</t>
  </si>
  <si>
    <t xml:space="preserve"> 400</t>
  </si>
  <si>
    <t>149/37</t>
  </si>
  <si>
    <t>İSMAİL HAKKI İNCE</t>
  </si>
  <si>
    <t>ABDULLAH</t>
  </si>
  <si>
    <t>465/2</t>
  </si>
  <si>
    <t>ARSA</t>
  </si>
  <si>
    <t xml:space="preserve"> 400</t>
  </si>
  <si>
    <t>149/37</t>
  </si>
  <si>
    <t>MUSTAFA İNCE</t>
  </si>
  <si>
    <t>ABDULLAH</t>
  </si>
  <si>
    <t>465/2</t>
  </si>
  <si>
    <t>ARSA</t>
  </si>
  <si>
    <t xml:space="preserve"> 400</t>
  </si>
  <si>
    <t>149/52</t>
  </si>
  <si>
    <t>FATMA GENEL</t>
  </si>
  <si>
    <t>MUSTAFA</t>
  </si>
  <si>
    <t>465/3</t>
  </si>
  <si>
    <t>ARSA</t>
  </si>
  <si>
    <t xml:space="preserve"> 420.46</t>
  </si>
  <si>
    <t>149/52</t>
  </si>
  <si>
    <t>İSMAİL GENEL</t>
  </si>
  <si>
    <t>MUSTAFA</t>
  </si>
  <si>
    <t>465/3</t>
  </si>
  <si>
    <t>ARSA</t>
  </si>
  <si>
    <t xml:space="preserve"> 420.46</t>
  </si>
  <si>
    <t>149/52</t>
  </si>
  <si>
    <t>SAKINE GENEL</t>
  </si>
  <si>
    <t>MUSTAFA</t>
  </si>
  <si>
    <t>465/3</t>
  </si>
  <si>
    <t>ARSA</t>
  </si>
  <si>
    <t xml:space="preserve"> 420.46</t>
  </si>
  <si>
    <t>149/52</t>
  </si>
  <si>
    <t>SAKİNE GENEL</t>
  </si>
  <si>
    <t>MUSTAFA</t>
  </si>
  <si>
    <t>YAŞAR GENEL|MUSTAFA
İSMAİL GENEL|MUSTAFA
FATMA ÖZEN|MUSTAFA</t>
  </si>
  <si>
    <t>465/3</t>
  </si>
  <si>
    <t>ARSA</t>
  </si>
  <si>
    <t xml:space="preserve"> 420.46</t>
  </si>
  <si>
    <t>149/52</t>
  </si>
  <si>
    <t>YAŞAR GENEL</t>
  </si>
  <si>
    <t>MUSTAFA</t>
  </si>
  <si>
    <t>465/3</t>
  </si>
  <si>
    <t>ARSA</t>
  </si>
  <si>
    <t xml:space="preserve"> 420.46</t>
  </si>
  <si>
    <t>149/53</t>
  </si>
  <si>
    <t>MEHMET GENEL</t>
  </si>
  <si>
    <t>HAMİT</t>
  </si>
  <si>
    <t>465/3</t>
  </si>
  <si>
    <t>ARSA</t>
  </si>
  <si>
    <t xml:space="preserve"> 420.46</t>
  </si>
  <si>
    <t>149/54</t>
  </si>
  <si>
    <t>FATULA ÇİÇEK</t>
  </si>
  <si>
    <t>MUHARREM</t>
  </si>
  <si>
    <t>465/3</t>
  </si>
  <si>
    <t>ARSA</t>
  </si>
  <si>
    <t xml:space="preserve"> 420.46</t>
  </si>
  <si>
    <t>149/54</t>
  </si>
  <si>
    <t>HAYRİ MANAVOĞLU</t>
  </si>
  <si>
    <t>SALİH</t>
  </si>
  <si>
    <t>SERFA MANAP|SALİH
FATMA MENAP|MUSTAFA
MUHAMMET HASAN MENAP|İSMAİL</t>
  </si>
  <si>
    <t>465/3</t>
  </si>
  <si>
    <t>ARSA</t>
  </si>
  <si>
    <t xml:space="preserve"> 420.46</t>
  </si>
  <si>
    <t>149/54</t>
  </si>
  <si>
    <t>İSMAİL KARATAY</t>
  </si>
  <si>
    <t>MUSTAFA</t>
  </si>
  <si>
    <t>BAYRAM KARATAY|İSMAİL
İMDAT KARATAY|İSMAİL
SEDAT KARATAY|İSMAİL</t>
  </si>
  <si>
    <t>465/3</t>
  </si>
  <si>
    <t>ARSA</t>
  </si>
  <si>
    <t xml:space="preserve"> 420.46</t>
  </si>
  <si>
    <t>149/54</t>
  </si>
  <si>
    <t>MUSTAFA MENAP</t>
  </si>
  <si>
    <t>MUHARREM</t>
  </si>
  <si>
    <t>465/3</t>
  </si>
  <si>
    <t>ARSA</t>
  </si>
  <si>
    <t xml:space="preserve"> 420.46</t>
  </si>
  <si>
    <t>154/11</t>
  </si>
  <si>
    <t>MUSTAFA DINÇ</t>
  </si>
  <si>
    <t>SALIH</t>
  </si>
  <si>
    <t>465/3</t>
  </si>
  <si>
    <t>ARSA</t>
  </si>
  <si>
    <t xml:space="preserve"> 420.46</t>
  </si>
  <si>
    <t>149/40</t>
  </si>
  <si>
    <t>AYŞE ŞAHİN</t>
  </si>
  <si>
    <t>SALİH</t>
  </si>
  <si>
    <t>465/4</t>
  </si>
  <si>
    <t>ARSA</t>
  </si>
  <si>
    <t xml:space="preserve"> 777.64</t>
  </si>
  <si>
    <t>149/42</t>
  </si>
  <si>
    <t>AYŞE ŞAHİN</t>
  </si>
  <si>
    <t>SALİH</t>
  </si>
  <si>
    <t>465/4</t>
  </si>
  <si>
    <t>ARSA</t>
  </si>
  <si>
    <t xml:space="preserve"> 777.64</t>
  </si>
  <si>
    <t>149/55</t>
  </si>
  <si>
    <t>AHMET ZEREN</t>
  </si>
  <si>
    <t>RECEP</t>
  </si>
  <si>
    <t>İSMAİL ZEREN|RECEP
ARZU ZEREN|RECEP</t>
  </si>
  <si>
    <t>465/4</t>
  </si>
  <si>
    <t>ARSA</t>
  </si>
  <si>
    <t xml:space="preserve"> 777.64</t>
  </si>
  <si>
    <t>149/55</t>
  </si>
  <si>
    <t>AHMET ZEREN</t>
  </si>
  <si>
    <t>RECEP</t>
  </si>
  <si>
    <t>465/4</t>
  </si>
  <si>
    <t>ARSA</t>
  </si>
  <si>
    <t xml:space="preserve"> 777.64</t>
  </si>
  <si>
    <t>149/55</t>
  </si>
  <si>
    <t>ARZU ZEREN</t>
  </si>
  <si>
    <t>RECEP</t>
  </si>
  <si>
    <t>465/4</t>
  </si>
  <si>
    <t>ARSA</t>
  </si>
  <si>
    <t xml:space="preserve"> 777.64</t>
  </si>
  <si>
    <t>149/55</t>
  </si>
  <si>
    <t>İSMAİL ZEREN</t>
  </si>
  <si>
    <t>RECEP</t>
  </si>
  <si>
    <t>465/4</t>
  </si>
  <si>
    <t>ARSA</t>
  </si>
  <si>
    <t xml:space="preserve"> 777.64</t>
  </si>
  <si>
    <t>149/55</t>
  </si>
  <si>
    <t>ŞÜKRİYE ZEREN</t>
  </si>
  <si>
    <t>ÖMER</t>
  </si>
  <si>
    <t>FATMA ÖZEN|MEHMET
MUSTAFA ZEREN|MEHMET
ŞERAFETTİN ZEREN|MEHMET</t>
  </si>
  <si>
    <t>465/4</t>
  </si>
  <si>
    <t>ARSA</t>
  </si>
  <si>
    <t xml:space="preserve"> 777.64</t>
  </si>
  <si>
    <t>154/9</t>
  </si>
  <si>
    <t>MEHMET AYGÜN</t>
  </si>
  <si>
    <t>MEHMET</t>
  </si>
  <si>
    <t>465/4</t>
  </si>
  <si>
    <t>ARSA</t>
  </si>
  <si>
    <t xml:space="preserve"> 777.64</t>
  </si>
  <si>
    <t>154/9</t>
  </si>
  <si>
    <t>MUSTAFA AYGÜN</t>
  </si>
  <si>
    <t>MEHMET</t>
  </si>
  <si>
    <t>465/4</t>
  </si>
  <si>
    <t>ARSA</t>
  </si>
  <si>
    <t xml:space="preserve"> 777.64</t>
  </si>
  <si>
    <t>154/9</t>
  </si>
  <si>
    <t>SALIH ZEKI AYGÜN</t>
  </si>
  <si>
    <t>MEHMET</t>
  </si>
  <si>
    <t>465/4</t>
  </si>
  <si>
    <t>ARSA</t>
  </si>
  <si>
    <t xml:space="preserve"> 777.64</t>
  </si>
  <si>
    <t>154/13</t>
  </si>
  <si>
    <t>MUSTAFA AK</t>
  </si>
  <si>
    <t>AZIZ</t>
  </si>
  <si>
    <t>465/4</t>
  </si>
  <si>
    <t>ARSA</t>
  </si>
  <si>
    <t xml:space="preserve"> 777.64</t>
  </si>
  <si>
    <t>149/37</t>
  </si>
  <si>
    <t>FATMA GENEL</t>
  </si>
  <si>
    <t>ABDULLAH</t>
  </si>
  <si>
    <t>466/1</t>
  </si>
  <si>
    <t>ARSA</t>
  </si>
  <si>
    <t xml:space="preserve"> 934.63</t>
  </si>
  <si>
    <t>149/37</t>
  </si>
  <si>
    <t>İSMAİL HAKKI İNCE</t>
  </si>
  <si>
    <t>ABDULLAH</t>
  </si>
  <si>
    <t>466/1</t>
  </si>
  <si>
    <t>ARSA</t>
  </si>
  <si>
    <t xml:space="preserve"> 934.63</t>
  </si>
  <si>
    <t>149/37</t>
  </si>
  <si>
    <t>MUSTAFA İNCE</t>
  </si>
  <si>
    <t>ABDULLAH</t>
  </si>
  <si>
    <t>466/1</t>
  </si>
  <si>
    <t>ARSA</t>
  </si>
  <si>
    <t xml:space="preserve"> 934.63</t>
  </si>
  <si>
    <t>149/49</t>
  </si>
  <si>
    <t>FATMA İNAN</t>
  </si>
  <si>
    <t>SALİH</t>
  </si>
  <si>
    <t>CEMAL GENEL|SALİH
REMZİ GENEL|SALİH
SALİH GENEL|SALİH
BAYRAM GENEL|SALİH
İSMAİL GENEL|SALİH
NERİMAN ÖZKAN|SALİH
MELİHA KANIK|MUSTAFA
MEHMET GENEL|MUSTAFA
AHMET GENEL|MUSTAFA
ELMAS BAKAL|MUSTAFA</t>
  </si>
  <si>
    <t>466/2</t>
  </si>
  <si>
    <t>ARSA</t>
  </si>
  <si>
    <t xml:space="preserve"> 801.1</t>
  </si>
  <si>
    <t>149/50</t>
  </si>
  <si>
    <t>ŞEREF ÖZKAN</t>
  </si>
  <si>
    <t>ALİ</t>
  </si>
  <si>
    <t>466/2</t>
  </si>
  <si>
    <t>ARSA</t>
  </si>
  <si>
    <t xml:space="preserve"> 801.1</t>
  </si>
  <si>
    <t>149/51</t>
  </si>
  <si>
    <t>HATİCE GENEL</t>
  </si>
  <si>
    <t>SALİH</t>
  </si>
  <si>
    <t>466/2</t>
  </si>
  <si>
    <t>ARSA</t>
  </si>
  <si>
    <t xml:space="preserve"> 801.1</t>
  </si>
  <si>
    <t>154/13</t>
  </si>
  <si>
    <t>MUSTAFA AK</t>
  </si>
  <si>
    <t>AZIZ</t>
  </si>
  <si>
    <t>466/2</t>
  </si>
  <si>
    <t>ARSA</t>
  </si>
  <si>
    <t xml:space="preserve"> 801.1</t>
  </si>
  <si>
    <t>146/3</t>
  </si>
  <si>
    <t>AHMET ÇIÇEK</t>
  </si>
  <si>
    <t>MUSTAFA</t>
  </si>
  <si>
    <t>467/1</t>
  </si>
  <si>
    <t>ARSA</t>
  </si>
  <si>
    <t xml:space="preserve"> 494.93</t>
  </si>
  <si>
    <t>146/17</t>
  </si>
  <si>
    <t>AHMET ÇİÇEK</t>
  </si>
  <si>
    <t>MUSTAFA</t>
  </si>
  <si>
    <t>467/1</t>
  </si>
  <si>
    <t>ARSA</t>
  </si>
  <si>
    <t xml:space="preserve"> 494.93</t>
  </si>
  <si>
    <t>146/19</t>
  </si>
  <si>
    <t>AHMET ÇİÇEK</t>
  </si>
  <si>
    <t>MUSTAFA</t>
  </si>
  <si>
    <t>467/1</t>
  </si>
  <si>
    <t>ARSA</t>
  </si>
  <si>
    <t xml:space="preserve"> 494.93</t>
  </si>
  <si>
    <t>146/20</t>
  </si>
  <si>
    <t>EMİNE ÖZKAN</t>
  </si>
  <si>
    <t>İSMAİL</t>
  </si>
  <si>
    <t>FATMA DİNÇ|ALİ
İSMET ÖZKAN|ALİ
ŞEREF ÖZKAN|ALİ
HATİCE DİLMAÇ|ALİ
EKREM ALİ ÖZKAN|ALİ
ELMAS KARAMAN|ALİ
FATİH ÖZKAN|ALİ
ASİYE AYDIN|ALİ</t>
  </si>
  <si>
    <t>467/2</t>
  </si>
  <si>
    <t>ARSA</t>
  </si>
  <si>
    <t xml:space="preserve"> 567.28</t>
  </si>
  <si>
    <t>146/4</t>
  </si>
  <si>
    <t>FATMA GENEL</t>
  </si>
  <si>
    <t>AHMET</t>
  </si>
  <si>
    <t>MUSTAFA GENEL|AHMET
FATMA SEZGİN|AHMET
AYSEL ŞAKAR|AHMET
NAİLE ÇİÇEK|AHMET
EMRİYE ÇİÇEK|AHMET
NAZMİYE ENGİN|AHMET
YASEMİN GENEL|FEVZİ
BÜNYAMİN GENEL|FEVZİ
RABİA GENEL|FEVZİ
MUSTAFA GENEL|FEVZİ</t>
  </si>
  <si>
    <t>467/3</t>
  </si>
  <si>
    <t>ARSA</t>
  </si>
  <si>
    <t xml:space="preserve"> 691.69</t>
  </si>
  <si>
    <t>149/24</t>
  </si>
  <si>
    <t>FATMA GENEL</t>
  </si>
  <si>
    <t>AHMET</t>
  </si>
  <si>
    <t>MUSTAFA GENEL|AHMET
FATMA SEZGİN|AHMET
AYSEL ŞAKAR|AHMET
NAİLE ÇİCEK|AHMET
EMRİYE ÇİCEK|AHMET
NAZMİYE ENGİN|AHMET
YASEMİN GENEL|FEVZİ
BÜNYAMİN GENEL|FEVZİ
RABİA GENEL|FEVZİ
MUSTAFA GENEL|FEVZİ</t>
  </si>
  <si>
    <t>467/3</t>
  </si>
  <si>
    <t>ARSA</t>
  </si>
  <si>
    <t xml:space="preserve"> 691.69</t>
  </si>
  <si>
    <t>146/6</t>
  </si>
  <si>
    <t>FATMA ERDOĞAN</t>
  </si>
  <si>
    <t>MUSTAFA</t>
  </si>
  <si>
    <t>467/4</t>
  </si>
  <si>
    <t>ARSA</t>
  </si>
  <si>
    <t xml:space="preserve"> 391.44</t>
  </si>
  <si>
    <t>146/6</t>
  </si>
  <si>
    <t>GÜLIZAR KOÇ</t>
  </si>
  <si>
    <t>MUSTAFA</t>
  </si>
  <si>
    <t>ENGİN ERDOĞAN|MUSTAFA
MUSTAFA ERDOĞAN|MUSTAFA
İSMAİL ERDOĞAN|MUSTAFA
AYŞE TAHAN|MUSTAFA
ŞÜKRÜ ERDOĞAN|MUSTAFA</t>
  </si>
  <si>
    <t>467/4</t>
  </si>
  <si>
    <t>ARSA</t>
  </si>
  <si>
    <t xml:space="preserve"> 391.44</t>
  </si>
  <si>
    <t>146/6</t>
  </si>
  <si>
    <t>SAIT ERDOĞAN</t>
  </si>
  <si>
    <t>MUSTAFA</t>
  </si>
  <si>
    <t>467/4</t>
  </si>
  <si>
    <t>ARSA</t>
  </si>
  <si>
    <t xml:space="preserve"> 391.44</t>
  </si>
  <si>
    <t>146/6</t>
  </si>
  <si>
    <t>YAKUP ERDOĞAN</t>
  </si>
  <si>
    <t>MUSTAFA</t>
  </si>
  <si>
    <t>467/4</t>
  </si>
  <si>
    <t>ARSA</t>
  </si>
  <si>
    <t xml:space="preserve"> 391.44</t>
  </si>
  <si>
    <t>146/6</t>
  </si>
  <si>
    <t>ZEKİ MANAP</t>
  </si>
  <si>
    <t>DURSUN</t>
  </si>
  <si>
    <t>ŞEREF MANAP|DURSUN
AZİZE ÜNAL|KATİP
ELMAS MANAVOĞLU|DURSUN
MUHAMMET İNCİ|KATİP</t>
  </si>
  <si>
    <t>467/4</t>
  </si>
  <si>
    <t>ARSA</t>
  </si>
  <si>
    <t xml:space="preserve"> 391.44</t>
  </si>
  <si>
    <t>149/62</t>
  </si>
  <si>
    <t>MEHMET ŞAHİN</t>
  </si>
  <si>
    <t>SAİT</t>
  </si>
  <si>
    <t>468/1</t>
  </si>
  <si>
    <t>ARSA</t>
  </si>
  <si>
    <t xml:space="preserve"> 483.4</t>
  </si>
  <si>
    <t>149/64</t>
  </si>
  <si>
    <t>ABDULLAH TAHAN</t>
  </si>
  <si>
    <t>ŞÜKRÜ</t>
  </si>
  <si>
    <t>468/2</t>
  </si>
  <si>
    <t>ARSA</t>
  </si>
  <si>
    <t xml:space="preserve"> 602.56</t>
  </si>
  <si>
    <t>149/65</t>
  </si>
  <si>
    <t>HEDİYE TAHAN</t>
  </si>
  <si>
    <t>İLYAS</t>
  </si>
  <si>
    <t>AYŞE UÇAN|AHMET
MUSTAFA TAHAN|AHMET</t>
  </si>
  <si>
    <t>468/2</t>
  </si>
  <si>
    <t>ARSA</t>
  </si>
  <si>
    <t xml:space="preserve"> 602.56</t>
  </si>
  <si>
    <t>154/9</t>
  </si>
  <si>
    <t>MEHMET AYGÜN</t>
  </si>
  <si>
    <t>MEHMET</t>
  </si>
  <si>
    <t>468/2</t>
  </si>
  <si>
    <t>ARSA</t>
  </si>
  <si>
    <t xml:space="preserve"> 602.56</t>
  </si>
  <si>
    <t>154/9</t>
  </si>
  <si>
    <t>MUSTAFA AYGÜN</t>
  </si>
  <si>
    <t>MEHMET</t>
  </si>
  <si>
    <t>468/2</t>
  </si>
  <si>
    <t>ARSA</t>
  </si>
  <si>
    <t xml:space="preserve"> 602.56</t>
  </si>
  <si>
    <t>154/9</t>
  </si>
  <si>
    <t>SALIH ZEKI AYGÜN</t>
  </si>
  <si>
    <t>MEHMET</t>
  </si>
  <si>
    <t>468/2</t>
  </si>
  <si>
    <t>ARSA</t>
  </si>
  <si>
    <t xml:space="preserve"> 602.56</t>
  </si>
  <si>
    <t>149/49</t>
  </si>
  <si>
    <t>FATMA İNAN</t>
  </si>
  <si>
    <t>SALİH</t>
  </si>
  <si>
    <t>CEMAL GENEL|SALİH
REMZİ GENEL|SALİH
SALİH GENEL|SALİH
BAYRAM GENEL|SALİH
İSMAİL GENEL|SALİH
NERİMAN ÖZKAN|SALİH
MELİHA KANIK|MUSTAFA
MEHMET GENEL|MUSTAFA
AHMET GENEL|MUSTAFA
ELMAS BAKAL|MUSTAFA</t>
  </si>
  <si>
    <t>468/3</t>
  </si>
  <si>
    <t>ARSA</t>
  </si>
  <si>
    <t xml:space="preserve"> 400</t>
  </si>
  <si>
    <t>149/63</t>
  </si>
  <si>
    <t>FATMA İNAN</t>
  </si>
  <si>
    <t>SALİH</t>
  </si>
  <si>
    <t>CEMAL GENEL|SALİH
REMZİ GENEL|SALİH
SALİH GENEL|SALİH
BAYRAM GENEL|SALİH
İSMAİL GENEL|SALİH
NERİMAN ÖZKAN|SALİH
MELİHA KANIK|MUSTAFA
MEHMET GENEL|MUSTAFA
AHMET GENEL|MUSTAFA
ELMAS BAKAL|MUSTAFA</t>
  </si>
  <si>
    <t>468/3</t>
  </si>
  <si>
    <t>ARSA</t>
  </si>
  <si>
    <t xml:space="preserve"> 400</t>
  </si>
  <si>
    <t>149/66</t>
  </si>
  <si>
    <t>İSMAİL KOÇ</t>
  </si>
  <si>
    <t>ALİ</t>
  </si>
  <si>
    <t>468/4</t>
  </si>
  <si>
    <t>ARSA</t>
  </si>
  <si>
    <t xml:space="preserve"> 606.35</t>
  </si>
  <si>
    <t>149/67</t>
  </si>
  <si>
    <t>FATMA KADIOĞLU</t>
  </si>
  <si>
    <t>SALİH</t>
  </si>
  <si>
    <t>468/4</t>
  </si>
  <si>
    <t>ARSA</t>
  </si>
  <si>
    <t xml:space="preserve"> 606.35</t>
  </si>
  <si>
    <t>149/68</t>
  </si>
  <si>
    <t>AHMET HAMDİ KOCAMAN</t>
  </si>
  <si>
    <t>MEHMET ŞABAN</t>
  </si>
  <si>
    <t>468/4</t>
  </si>
  <si>
    <t>ARSA</t>
  </si>
  <si>
    <t xml:space="preserve"> 606.35</t>
  </si>
  <si>
    <t>149/68</t>
  </si>
  <si>
    <t>ASIM KOCAMAN</t>
  </si>
  <si>
    <t>SALİH</t>
  </si>
  <si>
    <t>468/4</t>
  </si>
  <si>
    <t>ARSA</t>
  </si>
  <si>
    <t xml:space="preserve"> 606.35</t>
  </si>
  <si>
    <t>149/68</t>
  </si>
  <si>
    <t>FATMA KOCAMAN</t>
  </si>
  <si>
    <t>MEHMET ŞABAN</t>
  </si>
  <si>
    <t>468/4</t>
  </si>
  <si>
    <t>ARSA</t>
  </si>
  <si>
    <t xml:space="preserve"> 606.35</t>
  </si>
  <si>
    <t>149/68</t>
  </si>
  <si>
    <t>HAYRİYE İNCİ</t>
  </si>
  <si>
    <t>SALİH</t>
  </si>
  <si>
    <t>468/4</t>
  </si>
  <si>
    <t>ARSA</t>
  </si>
  <si>
    <t xml:space="preserve"> 606.35</t>
  </si>
  <si>
    <t>149/68</t>
  </si>
  <si>
    <t>İSMAİL KOCAMAN</t>
  </si>
  <si>
    <t>MEHMET ŞABAN</t>
  </si>
  <si>
    <t>468/4</t>
  </si>
  <si>
    <t>ARSA</t>
  </si>
  <si>
    <t xml:space="preserve"> 606.35</t>
  </si>
  <si>
    <t>149/68</t>
  </si>
  <si>
    <t>MEHMET ALİ KOCAMAN</t>
  </si>
  <si>
    <t>SALİH</t>
  </si>
  <si>
    <t>468/4</t>
  </si>
  <si>
    <t>ARSA</t>
  </si>
  <si>
    <t xml:space="preserve"> 606.35</t>
  </si>
  <si>
    <t>149/68</t>
  </si>
  <si>
    <t>MEHTAP ŞENGÜL</t>
  </si>
  <si>
    <t>SALİH</t>
  </si>
  <si>
    <t>468/4</t>
  </si>
  <si>
    <t>ARSA</t>
  </si>
  <si>
    <t xml:space="preserve"> 606.35</t>
  </si>
  <si>
    <t>149/68</t>
  </si>
  <si>
    <t>MUALLA ÇİKOT</t>
  </si>
  <si>
    <t>SALİH</t>
  </si>
  <si>
    <t>468/4</t>
  </si>
  <si>
    <t>ARSA</t>
  </si>
  <si>
    <t xml:space="preserve"> 606.35</t>
  </si>
  <si>
    <t>149/68</t>
  </si>
  <si>
    <t>ŞAKİR ŞÜKRÜ ÖZEN</t>
  </si>
  <si>
    <t>AHMET CEVDET</t>
  </si>
  <si>
    <t>468/4</t>
  </si>
  <si>
    <t>ARSA</t>
  </si>
  <si>
    <t xml:space="preserve"> 606.35</t>
  </si>
  <si>
    <t>149/68</t>
  </si>
  <si>
    <t>ŞÜKRİYE AYGÜN</t>
  </si>
  <si>
    <t>SALİH</t>
  </si>
  <si>
    <t>468/4</t>
  </si>
  <si>
    <t>ARSA</t>
  </si>
  <si>
    <t xml:space="preserve"> 606.35</t>
  </si>
  <si>
    <t>149/68</t>
  </si>
  <si>
    <t>ŞÜKRÜ ÖZEN</t>
  </si>
  <si>
    <t>AHMET CEVDET</t>
  </si>
  <si>
    <t>468/4</t>
  </si>
  <si>
    <t>ARSA</t>
  </si>
  <si>
    <t xml:space="preserve"> 606.35</t>
  </si>
  <si>
    <t>149/68</t>
  </si>
  <si>
    <t>ZİNNET ÖZEN</t>
  </si>
  <si>
    <t>AHMET CEVDET</t>
  </si>
  <si>
    <t>468/4</t>
  </si>
  <si>
    <t>ARSA</t>
  </si>
  <si>
    <t xml:space="preserve"> 606.35</t>
  </si>
  <si>
    <t>154/9</t>
  </si>
  <si>
    <t>MEHMET AYGÜN</t>
  </si>
  <si>
    <t>MEHMET</t>
  </si>
  <si>
    <t>468/4</t>
  </si>
  <si>
    <t>ARSA</t>
  </si>
  <si>
    <t xml:space="preserve"> 606.35</t>
  </si>
  <si>
    <t>154/9</t>
  </si>
  <si>
    <t>MUSTAFA AYGÜN</t>
  </si>
  <si>
    <t>MEHMET</t>
  </si>
  <si>
    <t>468/4</t>
  </si>
  <si>
    <t>ARSA</t>
  </si>
  <si>
    <t xml:space="preserve"> 606.35</t>
  </si>
  <si>
    <t>154/9</t>
  </si>
  <si>
    <t>SALIH ZEKI AYGÜN</t>
  </si>
  <si>
    <t>MEHMET</t>
  </si>
  <si>
    <t>468/4</t>
  </si>
  <si>
    <t>ARSA</t>
  </si>
  <si>
    <t xml:space="preserve"> 606.35</t>
  </si>
  <si>
    <t>149/56</t>
  </si>
  <si>
    <t>DURSUN ALİ GENEL</t>
  </si>
  <si>
    <t>ALİ</t>
  </si>
  <si>
    <t>470/1</t>
  </si>
  <si>
    <t>ARSA</t>
  </si>
  <si>
    <t xml:space="preserve"> 616.24</t>
  </si>
  <si>
    <t>149/58</t>
  </si>
  <si>
    <t>AHMET ŞAHİN</t>
  </si>
  <si>
    <t>SAİD</t>
  </si>
  <si>
    <t>470/2</t>
  </si>
  <si>
    <t>ARSA</t>
  </si>
  <si>
    <t xml:space="preserve"> 452.73</t>
  </si>
  <si>
    <t>149/58</t>
  </si>
  <si>
    <t>FATMA AYGÜN</t>
  </si>
  <si>
    <t>AHMET</t>
  </si>
  <si>
    <t>470/2</t>
  </si>
  <si>
    <t>ARSA</t>
  </si>
  <si>
    <t xml:space="preserve"> 452.73</t>
  </si>
  <si>
    <t>149/58</t>
  </si>
  <si>
    <t>HAVULİ ÖZTÜRK</t>
  </si>
  <si>
    <t>AHMET</t>
  </si>
  <si>
    <t>470/2</t>
  </si>
  <si>
    <t>ARSA</t>
  </si>
  <si>
    <t xml:space="preserve"> 452.73</t>
  </si>
  <si>
    <t>149/58</t>
  </si>
  <si>
    <t>MEHMET ŞAHİN</t>
  </si>
  <si>
    <t>SAİD</t>
  </si>
  <si>
    <t>470/2</t>
  </si>
  <si>
    <t>ARSA</t>
  </si>
  <si>
    <t xml:space="preserve"> 452.73</t>
  </si>
  <si>
    <t>149/59</t>
  </si>
  <si>
    <t>AHMET ŞAHİN</t>
  </si>
  <si>
    <t>SAİD</t>
  </si>
  <si>
    <t>470/2</t>
  </si>
  <si>
    <t>ARSA</t>
  </si>
  <si>
    <t xml:space="preserve"> 452.73</t>
  </si>
  <si>
    <t>149/59</t>
  </si>
  <si>
    <t>FATMA AYGÜN</t>
  </si>
  <si>
    <t>AHMET</t>
  </si>
  <si>
    <t>470/2</t>
  </si>
  <si>
    <t>ARSA</t>
  </si>
  <si>
    <t xml:space="preserve"> 452.73</t>
  </si>
  <si>
    <t>149/59</t>
  </si>
  <si>
    <t>HAVULİ ÖZTÜRK</t>
  </si>
  <si>
    <t>AHMET</t>
  </si>
  <si>
    <t>470/2</t>
  </si>
  <si>
    <t>ARSA</t>
  </si>
  <si>
    <t xml:space="preserve"> 452.73</t>
  </si>
  <si>
    <t>149/59</t>
  </si>
  <si>
    <t>MEHMET ŞAHİN</t>
  </si>
  <si>
    <t>SAİD</t>
  </si>
  <si>
    <t>470/2</t>
  </si>
  <si>
    <t>ARSA</t>
  </si>
  <si>
    <t xml:space="preserve"> 452.73</t>
  </si>
  <si>
    <t>154/8</t>
  </si>
  <si>
    <t>ALI KUTBAY</t>
  </si>
  <si>
    <t>MUSTAFA</t>
  </si>
  <si>
    <t>470/3</t>
  </si>
  <si>
    <t>ARSA</t>
  </si>
  <si>
    <t xml:space="preserve"> 522.42</t>
  </si>
  <si>
    <t>154/8</t>
  </si>
  <si>
    <t>MUSTAFA KUTBAY</t>
  </si>
  <si>
    <t>MUSTAFA</t>
  </si>
  <si>
    <t>470/3</t>
  </si>
  <si>
    <t>ARSA</t>
  </si>
  <si>
    <t xml:space="preserve"> 522.42</t>
  </si>
  <si>
    <t>154/21</t>
  </si>
  <si>
    <t>ALI KUTBAY</t>
  </si>
  <si>
    <t>MUSTAFA</t>
  </si>
  <si>
    <t>470/3</t>
  </si>
  <si>
    <t>ARSA</t>
  </si>
  <si>
    <t xml:space="preserve"> 522.42</t>
  </si>
  <si>
    <t>154/21</t>
  </si>
  <si>
    <t>MUSTAFA KUTBAY</t>
  </si>
  <si>
    <t>MUSTAFA</t>
  </si>
  <si>
    <t>470/3</t>
  </si>
  <si>
    <t>ARSA</t>
  </si>
  <si>
    <t xml:space="preserve"> 522.42</t>
  </si>
  <si>
    <t>149/60</t>
  </si>
  <si>
    <t>ABDÜLAZİZ ŞAHİN</t>
  </si>
  <si>
    <t>HAMİT</t>
  </si>
  <si>
    <t>470/4</t>
  </si>
  <si>
    <t>ARSA</t>
  </si>
  <si>
    <t xml:space="preserve"> 690.94</t>
  </si>
  <si>
    <t>149/60</t>
  </si>
  <si>
    <t>ASİYE ŞAHİN</t>
  </si>
  <si>
    <t>ABDÜLAZİZ</t>
  </si>
  <si>
    <t>470/4</t>
  </si>
  <si>
    <t>ARSA</t>
  </si>
  <si>
    <t xml:space="preserve"> 690.94</t>
  </si>
  <si>
    <t>149/61</t>
  </si>
  <si>
    <t>HANEFİ ŞAHİN</t>
  </si>
  <si>
    <t>MEHMET</t>
  </si>
  <si>
    <t>470/4</t>
  </si>
  <si>
    <t>ARSA</t>
  </si>
  <si>
    <t xml:space="preserve"> 690.94</t>
  </si>
  <si>
    <t>154/6</t>
  </si>
  <si>
    <t>KADIR EROĞLU</t>
  </si>
  <si>
    <t>KIBAR</t>
  </si>
  <si>
    <t>470/5</t>
  </si>
  <si>
    <t>ARSA</t>
  </si>
  <si>
    <t xml:space="preserve"> 672.41</t>
  </si>
  <si>
    <t>154/6</t>
  </si>
  <si>
    <t>NURIYE ÇIÇEK</t>
  </si>
  <si>
    <t>KIBAR</t>
  </si>
  <si>
    <t>470/5</t>
  </si>
  <si>
    <t>ARSA</t>
  </si>
  <si>
    <t xml:space="preserve"> 672.41</t>
  </si>
  <si>
    <t>149/57</t>
  </si>
  <si>
    <t>AHMET HÜSEYİN PAŞAOĞLU</t>
  </si>
  <si>
    <t>MUSTAFA</t>
  </si>
  <si>
    <t>470/6</t>
  </si>
  <si>
    <t>ARSA</t>
  </si>
  <si>
    <t xml:space="preserve"> 798.13</t>
  </si>
  <si>
    <t>149/71</t>
  </si>
  <si>
    <t>CEMAİL İNCİ</t>
  </si>
  <si>
    <t>HASAN</t>
  </si>
  <si>
    <t>471/1</t>
  </si>
  <si>
    <t xml:space="preserve"> 717.19</t>
  </si>
  <si>
    <t>154/3</t>
  </si>
  <si>
    <t>CIHAN INCI</t>
  </si>
  <si>
    <t>HÜSEYIN</t>
  </si>
  <si>
    <t>471/1</t>
  </si>
  <si>
    <t xml:space="preserve"> 717.19</t>
  </si>
  <si>
    <t>154/3</t>
  </si>
  <si>
    <t>DURMUŞ INCI</t>
  </si>
  <si>
    <t>HASAN</t>
  </si>
  <si>
    <t>471/1</t>
  </si>
  <si>
    <t xml:space="preserve"> 717.19</t>
  </si>
  <si>
    <t>149/70</t>
  </si>
  <si>
    <t>ŞÜKRÜ ŞEN</t>
  </si>
  <si>
    <t>TEVFİK</t>
  </si>
  <si>
    <t>471/2</t>
  </si>
  <si>
    <t xml:space="preserve"> 796.31</t>
  </si>
  <si>
    <t>154/1</t>
  </si>
  <si>
    <t>TRABZON BÜYÜKŞEHİR BELEDİYESİ</t>
  </si>
  <si>
    <t>471/2</t>
  </si>
  <si>
    <t xml:space="preserve"> 796.31</t>
  </si>
  <si>
    <t>154/2</t>
  </si>
  <si>
    <t>ŞÜKRÜ ŞEN</t>
  </si>
  <si>
    <t>TEVFIK</t>
  </si>
  <si>
    <t>471/2</t>
  </si>
  <si>
    <t xml:space="preserve"> 796.31</t>
  </si>
  <si>
    <t>154/10</t>
  </si>
  <si>
    <t>ISMAIL ŞEN</t>
  </si>
  <si>
    <t>TEVFIK</t>
  </si>
  <si>
    <t>471/2</t>
  </si>
  <si>
    <t xml:space="preserve"> 796.31</t>
  </si>
  <si>
    <t>154/10</t>
  </si>
  <si>
    <t>MUSTAFA ŞEN</t>
  </si>
  <si>
    <t>TEVFIK</t>
  </si>
  <si>
    <t>471/2</t>
  </si>
  <si>
    <t xml:space="preserve"> 796.31</t>
  </si>
  <si>
    <t>154/10</t>
  </si>
  <si>
    <t>ŞÜKRÜ ŞEN</t>
  </si>
  <si>
    <t>TEVFIK</t>
  </si>
  <si>
    <t>471/2</t>
  </si>
  <si>
    <t xml:space="preserve"> 796.31</t>
  </si>
  <si>
    <t>154/3</t>
  </si>
  <si>
    <t>CIHAN INCI</t>
  </si>
  <si>
    <t>HÜSEYIN</t>
  </si>
  <si>
    <t>472/1</t>
  </si>
  <si>
    <t>ARSA</t>
  </si>
  <si>
    <t xml:space="preserve"> 1204.26</t>
  </si>
  <si>
    <t>154/3</t>
  </si>
  <si>
    <t>DURMUŞ INCI</t>
  </si>
  <si>
    <t>HASAN</t>
  </si>
  <si>
    <t>472/1</t>
  </si>
  <si>
    <t>ARSA</t>
  </si>
  <si>
    <t xml:space="preserve"> 1204.26</t>
  </si>
  <si>
    <t>154/8</t>
  </si>
  <si>
    <t>ALI KUTBAY</t>
  </si>
  <si>
    <t>MUSTAFA</t>
  </si>
  <si>
    <t>473/1</t>
  </si>
  <si>
    <t>ARSA</t>
  </si>
  <si>
    <t xml:space="preserve"> 599.48</t>
  </si>
  <si>
    <t>154/8</t>
  </si>
  <si>
    <t>MUSTAFA KUTBAY</t>
  </si>
  <si>
    <t>MUSTAFA</t>
  </si>
  <si>
    <t>473/1</t>
  </si>
  <si>
    <t>ARSA</t>
  </si>
  <si>
    <t xml:space="preserve"> 599.48</t>
  </si>
  <si>
    <t>154/7</t>
  </si>
  <si>
    <t>ZINNET INCE</t>
  </si>
  <si>
    <t>MEHMET</t>
  </si>
  <si>
    <t>473/2</t>
  </si>
  <si>
    <t>ARSA</t>
  </si>
  <si>
    <t xml:space="preserve"> 483.25</t>
  </si>
  <si>
    <t>154/8</t>
  </si>
  <si>
    <t>ALI KUTBAY</t>
  </si>
  <si>
    <t>MUSTAFA</t>
  </si>
  <si>
    <t>473/2</t>
  </si>
  <si>
    <t>ARSA</t>
  </si>
  <si>
    <t xml:space="preserve"> 483.25</t>
  </si>
  <si>
    <t>154/8</t>
  </si>
  <si>
    <t>MUSTAFA KUTBAY</t>
  </si>
  <si>
    <t>MUSTAFA</t>
  </si>
  <si>
    <t>473/2</t>
  </si>
  <si>
    <t>ARSA</t>
  </si>
  <si>
    <t xml:space="preserve"> 483.25</t>
  </si>
  <si>
    <t>154/11</t>
  </si>
  <si>
    <t>MUSTAFA DINÇ</t>
  </si>
  <si>
    <t>SALIH</t>
  </si>
  <si>
    <t>473/2</t>
  </si>
  <si>
    <t>ARSA</t>
  </si>
  <si>
    <t xml:space="preserve"> 483.25</t>
  </si>
  <si>
    <t>154/10</t>
  </si>
  <si>
    <t>ISMAIL ŞEN</t>
  </si>
  <si>
    <t>TEVFIK</t>
  </si>
  <si>
    <t>473/3</t>
  </si>
  <si>
    <t>ARSA</t>
  </si>
  <si>
    <t xml:space="preserve"> 1650.75</t>
  </si>
  <si>
    <t>154/10</t>
  </si>
  <si>
    <t>MUSTAFA ŞEN</t>
  </si>
  <si>
    <t>TEVFIK</t>
  </si>
  <si>
    <t>473/3</t>
  </si>
  <si>
    <t>ARSA</t>
  </si>
  <si>
    <t xml:space="preserve"> 1650.75</t>
  </si>
  <si>
    <t>154/10</t>
  </si>
  <si>
    <t>ŞÜKRÜ ŞEN</t>
  </si>
  <si>
    <t>TEVFIK</t>
  </si>
  <si>
    <t>473/3</t>
  </si>
  <si>
    <t>ARSA</t>
  </si>
  <si>
    <t xml:space="preserve"> 1650.75</t>
  </si>
  <si>
    <t>159/16</t>
  </si>
  <si>
    <t>TRABZON BÜYÜKŞEHİR BELEDİYESİ</t>
  </si>
  <si>
    <t>445/1</t>
  </si>
  <si>
    <t>MEZARLIK</t>
  </si>
  <si>
    <t xml:space="preserve"> 182.22</t>
  </si>
  <si>
    <t>148/7</t>
  </si>
  <si>
    <t>MALİYE HAZİNESİ</t>
  </si>
  <si>
    <t>457/5</t>
  </si>
  <si>
    <t>CAMİ VE ARSASI</t>
  </si>
  <si>
    <t xml:space="preserve"> 105.91</t>
  </si>
  <si>
    <t>148/8</t>
  </si>
  <si>
    <t>TRABZON BÜYÜKŞEHİR BELEDİYESİ</t>
  </si>
  <si>
    <t>457/6</t>
  </si>
  <si>
    <t>MEZARLIK</t>
  </si>
  <si>
    <t xml:space="preserve"> 215.85</t>
  </si>
  <si>
    <t>AHŞAP EV VE ARSASI</t>
  </si>
  <si>
    <t>İKİ AHŞAP EV VE ARSASI</t>
  </si>
  <si>
    <t>TEK KATLI AHŞAP EV VE ARSASI</t>
  </si>
  <si>
    <t>TEK KATLI AHŞAP EV VE KARGİR EV VE ARSASI</t>
  </si>
  <si>
    <t>İKİ KATLI AHŞAP EV VE ARSASI</t>
  </si>
  <si>
    <t>BETONARME EV VE KARGİR DEPO VE KARGİR TANDIRLIK VE ARSASI</t>
  </si>
  <si>
    <t>İKİ KATLI KARGİR EV VE ARSASI</t>
  </si>
  <si>
    <t>KARGİR EV VE ARSASI</t>
  </si>
  <si>
    <t>T.C.  ÇAYKARA BELEDİYESİ UZUNGÖL/YENİMAHALLE MAHALESİ IV  NOLU UYGULAMA SAHASI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</si>
</sst>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m/d/yy"/>
    <numFmt numFmtId="171" formatCode="d\-mmm\-yy"/>
    <numFmt numFmtId="172" formatCode="d\-mmm"/>
    <numFmt numFmtId="173" formatCode="mmmm\-yy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#\ #0.0E+0"/>
    <numFmt numFmtId="182" formatCode="_-* #,##0\ _₺_-;\-* #,##0\ _₺_-;_-* &quot;-&quot;\ _₺_-;_-@_-"/>
    <numFmt numFmtId="183" formatCode="_-* #,##0.00\ _₺_-;\-* #,##0.00\ _₺_-;_-* &quot;-&quot;??\ _₺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0.000"/>
    <numFmt numFmtId="193" formatCode="0.000000"/>
    <numFmt numFmtId="194" formatCode="0.00000000"/>
  </numFmts>
  <fonts count="41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92" fontId="1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92" fontId="1" fillId="0" borderId="0" xfId="0" applyNumberFormat="1" applyFont="1" applyBorder="1" applyAlignment="1">
      <alignment horizontal="left"/>
    </xf>
    <xf numFmtId="19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92" fontId="1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92" fontId="1" fillId="0" borderId="14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92" fontId="1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192" fontId="1" fillId="0" borderId="13" xfId="0" applyNumberFormat="1" applyFont="1" applyBorder="1" applyAlignment="1">
      <alignment horizontal="center"/>
    </xf>
    <xf numFmtId="192" fontId="1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6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193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94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2" fontId="5" fillId="0" borderId="14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1" fillId="0" borderId="27" xfId="0" applyNumberFormat="1" applyFont="1" applyBorder="1" applyAlignment="1">
      <alignment horizontal="left"/>
    </xf>
    <xf numFmtId="192" fontId="1" fillId="0" borderId="27" xfId="0" applyNumberFormat="1" applyFont="1" applyBorder="1" applyAlignment="1">
      <alignment horizontal="left"/>
    </xf>
    <xf numFmtId="2" fontId="1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2" fontId="0" fillId="0" borderId="36" xfId="0" applyNumberFormat="1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92" fontId="1" fillId="0" borderId="13" xfId="0" applyNumberFormat="1" applyFont="1" applyBorder="1" applyAlignment="1">
      <alignment horizontal="left" vertical="top" wrapText="1"/>
    </xf>
    <xf numFmtId="192" fontId="1" fillId="0" borderId="14" xfId="0" applyNumberFormat="1" applyFont="1" applyBorder="1" applyAlignment="1">
      <alignment horizontal="left" vertical="top" wrapText="1"/>
    </xf>
    <xf numFmtId="192" fontId="1" fillId="0" borderId="27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816"/>
  <sheetViews>
    <sheetView tabSelected="1" zoomScaleSheetLayoutView="100" zoomScalePageLayoutView="0" workbookViewId="0" topLeftCell="A97">
      <selection activeCell="F11" sqref="F11"/>
    </sheetView>
  </sheetViews>
  <sheetFormatPr defaultColWidth="9.140625" defaultRowHeight="12.75"/>
  <cols>
    <col min="3" max="4" width="11.7109375" style="0" customWidth="1"/>
    <col min="5" max="5" width="23.8515625" style="0" customWidth="1"/>
    <col min="6" max="6" width="24.28125" style="0" customWidth="1"/>
    <col min="7" max="10" width="11.7109375" style="0" hidden="1" customWidth="1"/>
    <col min="11" max="17" width="11.7109375" style="0" customWidth="1"/>
    <col min="18" max="22" width="11.7109375" style="0" hidden="1" customWidth="1"/>
    <col min="23" max="23" width="20.7109375" style="0" hidden="1" customWidth="1"/>
    <col min="24" max="24" width="11.7109375" style="0" hidden="1" customWidth="1"/>
    <col min="25" max="25" width="10.7109375" style="0" hidden="1" customWidth="1"/>
    <col min="26" max="26" width="14.00390625" style="0" customWidth="1"/>
    <col min="27" max="29" width="11.7109375" style="0" customWidth="1"/>
    <col min="30" max="32" width="11.7109375" style="0" hidden="1" customWidth="1"/>
    <col min="33" max="33" width="16.140625" style="0" customWidth="1"/>
    <col min="34" max="34" width="17.00390625" style="0" customWidth="1"/>
    <col min="35" max="35" width="17.421875" style="0" customWidth="1"/>
    <col min="36" max="36" width="13.57421875" style="0" customWidth="1"/>
    <col min="37" max="37" width="13.7109375" style="0" customWidth="1"/>
    <col min="40" max="40" width="0" style="0" hidden="1" customWidth="1"/>
  </cols>
  <sheetData>
    <row r="1" ht="12.75">
      <c r="A1" t="s">
        <v>45</v>
      </c>
    </row>
    <row r="2" spans="1:37" ht="16.5" thickBot="1">
      <c r="A2" s="70" t="s">
        <v>2433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40" ht="15.75">
      <c r="A3" s="55" t="s">
        <v>31</v>
      </c>
      <c r="B3" s="56"/>
      <c r="C3" s="57" t="s">
        <v>55</v>
      </c>
      <c r="D3" s="85" t="s">
        <v>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6"/>
      <c r="AI3" s="58" t="s">
        <v>21</v>
      </c>
      <c r="AJ3" s="59">
        <f ca="1">_xlfn.SHEET()+AN3-1</f>
        <v>1</v>
      </c>
      <c r="AK3" s="60"/>
      <c r="AL3" s="33"/>
      <c r="AN3" s="33" t="s">
        <v>54</v>
      </c>
    </row>
    <row r="4" spans="1:37" ht="12.75">
      <c r="A4" s="61" t="s">
        <v>32</v>
      </c>
      <c r="B4" s="23"/>
      <c r="C4" s="26" t="s">
        <v>56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"/>
      <c r="Z4" s="3"/>
      <c r="AA4" s="3"/>
      <c r="AB4" s="3"/>
      <c r="AC4" s="3"/>
      <c r="AD4" s="3"/>
      <c r="AE4" s="3"/>
      <c r="AF4" s="3"/>
      <c r="AG4" s="3"/>
      <c r="AH4" s="3"/>
      <c r="AI4" s="24" t="s">
        <v>36</v>
      </c>
      <c r="AJ4" s="32" t="s">
        <v>60</v>
      </c>
      <c r="AK4" s="37"/>
    </row>
    <row r="5" spans="1:37" ht="15.75">
      <c r="A5" s="62" t="s">
        <v>33</v>
      </c>
      <c r="B5" s="22"/>
      <c r="C5" s="26" t="s">
        <v>59</v>
      </c>
      <c r="D5" s="87" t="s">
        <v>43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24" t="s">
        <v>37</v>
      </c>
      <c r="AJ5" s="25" t="s">
        <v>62</v>
      </c>
      <c r="AK5" s="37"/>
    </row>
    <row r="6" spans="1:37" ht="12.75">
      <c r="A6" s="63" t="s">
        <v>34</v>
      </c>
      <c r="B6" s="23"/>
      <c r="C6" s="26" t="s">
        <v>57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3"/>
      <c r="Z6" s="3"/>
      <c r="AA6" s="3"/>
      <c r="AB6" s="3"/>
      <c r="AC6" s="3"/>
      <c r="AD6" s="3"/>
      <c r="AE6" s="3"/>
      <c r="AF6" s="3"/>
      <c r="AG6" s="3"/>
      <c r="AH6" s="3"/>
      <c r="AI6" s="24" t="s">
        <v>38</v>
      </c>
      <c r="AJ6" s="25" t="s">
        <v>61</v>
      </c>
      <c r="AK6" s="37"/>
    </row>
    <row r="7" spans="1:37" ht="13.5" thickBot="1">
      <c r="A7" s="64" t="s">
        <v>35</v>
      </c>
      <c r="B7" s="65"/>
      <c r="C7" s="66" t="s">
        <v>58</v>
      </c>
      <c r="D7" s="89" t="s">
        <v>20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  <c r="AI7" s="67"/>
      <c r="AJ7" s="68"/>
      <c r="AK7" s="69"/>
    </row>
    <row r="8" spans="1:37" ht="24" customHeight="1">
      <c r="A8" s="82" t="s">
        <v>19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A8" s="82" t="s">
        <v>18</v>
      </c>
      <c r="AB8" s="83"/>
      <c r="AC8" s="83"/>
      <c r="AD8" s="83"/>
      <c r="AE8" s="83"/>
      <c r="AF8" s="83"/>
      <c r="AG8" s="83"/>
      <c r="AH8" s="83"/>
      <c r="AI8" s="83"/>
      <c r="AJ8" s="83"/>
      <c r="AK8" s="84"/>
    </row>
    <row r="9" spans="1:37" ht="12.75">
      <c r="A9" s="3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7"/>
      <c r="AA9" s="51"/>
      <c r="AB9" s="3"/>
      <c r="AC9" s="3"/>
      <c r="AD9" s="3"/>
      <c r="AE9" s="3"/>
      <c r="AF9" s="3"/>
      <c r="AG9" s="3"/>
      <c r="AH9" s="3"/>
      <c r="AI9" s="3"/>
      <c r="AJ9" s="3"/>
      <c r="AK9" s="37"/>
    </row>
    <row r="10" spans="1:37" ht="12.75">
      <c r="A10" s="38" t="s">
        <v>0</v>
      </c>
      <c r="B10" s="5" t="s">
        <v>21</v>
      </c>
      <c r="C10" s="5" t="s">
        <v>1</v>
      </c>
      <c r="D10" s="7" t="s">
        <v>8</v>
      </c>
      <c r="E10" s="7" t="s">
        <v>22</v>
      </c>
      <c r="F10" s="7" t="s">
        <v>30</v>
      </c>
      <c r="G10" s="7" t="s">
        <v>15</v>
      </c>
      <c r="H10" s="7" t="s">
        <v>16</v>
      </c>
      <c r="I10" s="7"/>
      <c r="J10" s="7"/>
      <c r="K10" s="7" t="s">
        <v>39</v>
      </c>
      <c r="L10" s="7" t="s">
        <v>5</v>
      </c>
      <c r="M10" s="7" t="s">
        <v>40</v>
      </c>
      <c r="N10" s="7" t="s">
        <v>41</v>
      </c>
      <c r="O10" s="7" t="s">
        <v>23</v>
      </c>
      <c r="P10" s="7" t="s">
        <v>9</v>
      </c>
      <c r="Q10" s="7" t="s">
        <v>24</v>
      </c>
      <c r="R10" s="7" t="s">
        <v>25</v>
      </c>
      <c r="S10" s="7" t="s">
        <v>10</v>
      </c>
      <c r="T10" s="7" t="s">
        <v>11</v>
      </c>
      <c r="U10" s="7" t="s">
        <v>12</v>
      </c>
      <c r="V10" s="7" t="s">
        <v>13</v>
      </c>
      <c r="W10" s="27" t="s">
        <v>44</v>
      </c>
      <c r="X10" s="7" t="s">
        <v>14</v>
      </c>
      <c r="Y10" s="6" t="s">
        <v>2</v>
      </c>
      <c r="Z10" s="39" t="s">
        <v>42</v>
      </c>
      <c r="AA10" s="52" t="s">
        <v>6</v>
      </c>
      <c r="AB10" s="6" t="s">
        <v>4</v>
      </c>
      <c r="AC10" s="6" t="s">
        <v>5</v>
      </c>
      <c r="AD10" s="6" t="s">
        <v>17</v>
      </c>
      <c r="AE10" s="6"/>
      <c r="AF10" s="6"/>
      <c r="AG10" s="6" t="s">
        <v>3</v>
      </c>
      <c r="AH10" s="6" t="s">
        <v>26</v>
      </c>
      <c r="AI10" s="6" t="s">
        <v>27</v>
      </c>
      <c r="AJ10" s="6" t="s">
        <v>28</v>
      </c>
      <c r="AK10" s="39" t="s">
        <v>29</v>
      </c>
    </row>
    <row r="11" spans="1:37" ht="12.75">
      <c r="A11" s="4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"/>
      <c r="Z11" s="37"/>
      <c r="AA11" s="51"/>
      <c r="AB11" s="3"/>
      <c r="AC11" s="3"/>
      <c r="AD11" s="3"/>
      <c r="AE11" s="3"/>
      <c r="AF11" s="3"/>
      <c r="AG11" s="3"/>
      <c r="AH11" s="3"/>
      <c r="AI11" s="3"/>
      <c r="AJ11" s="3"/>
      <c r="AK11" s="37"/>
    </row>
    <row r="12" spans="1:38" ht="12.75">
      <c r="A12" s="41">
        <v>502</v>
      </c>
      <c r="B12" s="10">
        <v>1281</v>
      </c>
      <c r="C12" s="10" t="s">
        <v>46</v>
      </c>
      <c r="D12" s="16">
        <v>2535.78</v>
      </c>
      <c r="E12" s="20" t="s">
        <v>47</v>
      </c>
      <c r="F12" s="20" t="s">
        <v>48</v>
      </c>
      <c r="G12" s="12">
        <v>1</v>
      </c>
      <c r="H12" s="12">
        <v>1</v>
      </c>
      <c r="I12" s="16">
        <f>ROUND(G12,0)</f>
        <v>1</v>
      </c>
      <c r="J12" s="16">
        <f>ROUND(H12,0)</f>
        <v>1</v>
      </c>
      <c r="K12" s="18" t="str">
        <f>IF(I12=J12,"TAM",(CONCATENATE(G12,"/",H12)))</f>
        <v>TAM</v>
      </c>
      <c r="L12" s="29">
        <f>2535.78*1/1</f>
        <v>2535.78</v>
      </c>
      <c r="M12" s="30">
        <v>0</v>
      </c>
      <c r="N12" s="16" t="str">
        <f>IF(M12=0,"0",(O12*M12))</f>
        <v>0</v>
      </c>
      <c r="O12" s="16">
        <f>IF(W12=1,L12,((D12*G12/H12)-P12)/(1-V12)-S12-T12)</f>
        <v>2535.78</v>
      </c>
      <c r="P12" s="16">
        <v>0</v>
      </c>
      <c r="Q12" s="16">
        <f>IF(U12=0,"0",O12*U12)</f>
        <v>848.8585212929568</v>
      </c>
      <c r="R12" s="17">
        <f>IF(U12=0,(((D12*G12/H12)-P12-S12-T12)/(1-V12)),(((D12*G12/H12)-P12-S12-T12)/(1-V12))-((D12*G12/H12)-P12-S12-T12)*U12/(1-V12))</f>
        <v>1686.9214787070434</v>
      </c>
      <c r="S12" s="12">
        <v>0</v>
      </c>
      <c r="T12" s="12">
        <v>0</v>
      </c>
      <c r="U12" s="12">
        <v>0.334752431714485</v>
      </c>
      <c r="V12" s="12">
        <v>0</v>
      </c>
      <c r="W12" s="28">
        <f>IF(V12&gt;U12,1,V12)</f>
        <v>0</v>
      </c>
      <c r="X12" s="12">
        <v>1</v>
      </c>
      <c r="Y12" s="16">
        <v>0</v>
      </c>
      <c r="Z12" s="42" t="str">
        <f>IF(OR(W12=1,W12=0),"0",(Q12-N12))</f>
        <v>0</v>
      </c>
      <c r="AA12" s="53" t="s">
        <v>51</v>
      </c>
      <c r="AB12" s="16" t="s">
        <v>53</v>
      </c>
      <c r="AC12" s="16">
        <v>1106.14</v>
      </c>
      <c r="AD12" s="16">
        <v>1106.14</v>
      </c>
      <c r="AE12" s="16">
        <f>ROUND(AC12*100,0)</f>
        <v>110614</v>
      </c>
      <c r="AF12" s="16">
        <f>ROUND(AD12*100,0)</f>
        <v>110614</v>
      </c>
      <c r="AG12" s="19" t="str">
        <f>IF(AC12=AD12,"TAM",(CONCATENATE(AE12,"/",AF12)))</f>
        <v>TAM</v>
      </c>
      <c r="AH12" s="11" t="s">
        <v>50</v>
      </c>
      <c r="AI12" s="21" t="s">
        <v>50</v>
      </c>
      <c r="AJ12" s="21" t="s">
        <v>52</v>
      </c>
      <c r="AK12" s="54" t="s">
        <v>50</v>
      </c>
      <c r="AL12" s="1" t="s">
        <v>50</v>
      </c>
    </row>
    <row r="13" spans="1:37" ht="12.75">
      <c r="A13" s="43"/>
      <c r="B13" s="13"/>
      <c r="C13" s="13"/>
      <c r="D13" s="31"/>
      <c r="E13" s="14" t="s">
        <v>49</v>
      </c>
      <c r="F13" s="14"/>
      <c r="G13" s="14"/>
      <c r="H13" s="14"/>
      <c r="I13" s="31"/>
      <c r="J13" s="31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44"/>
      <c r="AA13" s="43"/>
      <c r="AB13" s="13"/>
      <c r="AC13" s="13"/>
      <c r="AD13" s="13"/>
      <c r="AE13" s="13"/>
      <c r="AF13" s="13"/>
      <c r="AG13" s="13"/>
      <c r="AH13" s="13"/>
      <c r="AI13" s="13"/>
      <c r="AJ13" s="13"/>
      <c r="AK13" s="44"/>
    </row>
    <row r="14" spans="1:38" ht="12.75" customHeight="1">
      <c r="A14" s="41">
        <v>318</v>
      </c>
      <c r="B14" s="10">
        <v>1100</v>
      </c>
      <c r="C14" s="10" t="s">
        <v>63</v>
      </c>
      <c r="D14" s="16">
        <v>2079.7</v>
      </c>
      <c r="E14" s="20" t="s">
        <v>64</v>
      </c>
      <c r="F14" s="20" t="s">
        <v>65</v>
      </c>
      <c r="G14" s="12">
        <v>3</v>
      </c>
      <c r="H14" s="12">
        <v>14</v>
      </c>
      <c r="I14" s="16">
        <f>ROUND(G14,0)</f>
        <v>3</v>
      </c>
      <c r="J14" s="16">
        <f>ROUND(H14,0)</f>
        <v>14</v>
      </c>
      <c r="K14" s="18" t="str">
        <f>IF(I14=J14,"TAM",(CONCATENATE(G14,"/",H14)))</f>
        <v>3/14</v>
      </c>
      <c r="L14" s="29">
        <f>2079.7*3/14</f>
        <v>445.6499999999999</v>
      </c>
      <c r="M14" s="30">
        <v>0</v>
      </c>
      <c r="N14" s="16" t="str">
        <f>IF(M14=0,"0",(O14*M14))</f>
        <v>0</v>
      </c>
      <c r="O14" s="16">
        <f>IF(W14=1,L14,((D14*G14/H14)-P14)/(1-V14)-S14-T14)</f>
        <v>445.65</v>
      </c>
      <c r="P14" s="16">
        <v>0</v>
      </c>
      <c r="Q14" s="16">
        <f>IF(U14=0,"0",O14*U14)</f>
        <v>149.18242119356023</v>
      </c>
      <c r="R14" s="17">
        <f>IF(U14=0,(((D14*G14/H14)-P14-S14-T14)/(1-V14)),(((D14*G14/H14)-P14-S14-T14)/(1-V14))-((D14*G14/H14)-P14-S14-T14)*U14/(1-V14))</f>
        <v>296.46757880643975</v>
      </c>
      <c r="S14" s="12">
        <v>0</v>
      </c>
      <c r="T14" s="12">
        <v>0</v>
      </c>
      <c r="U14" s="12">
        <v>0.334752431714485</v>
      </c>
      <c r="V14" s="12">
        <v>0</v>
      </c>
      <c r="W14" s="28">
        <f>IF(V14&gt;U14,1,V14)</f>
        <v>0</v>
      </c>
      <c r="X14" s="12">
        <v>1</v>
      </c>
      <c r="Y14" s="16">
        <v>0</v>
      </c>
      <c r="Z14" s="42" t="str">
        <f>IF(OR(W14=1,W14=0),"0",(Q14-N14))</f>
        <v>0</v>
      </c>
      <c r="AA14" s="53" t="s">
        <v>66</v>
      </c>
      <c r="AB14" s="16" t="s">
        <v>68</v>
      </c>
      <c r="AC14" s="16">
        <v>36.64</v>
      </c>
      <c r="AD14" s="16">
        <v>473.32</v>
      </c>
      <c r="AE14" s="16">
        <f>ROUND(AC14*100,0)</f>
        <v>3664</v>
      </c>
      <c r="AF14" s="16">
        <f>ROUND(AD14*100,0)</f>
        <v>47332</v>
      </c>
      <c r="AG14" s="19" t="str">
        <f>IF(AC14=AD14,"TAM",(CONCATENATE(AE14,"/",AF14)))</f>
        <v>3664/47332</v>
      </c>
      <c r="AH14" s="11" t="s">
        <v>50</v>
      </c>
      <c r="AI14" s="21" t="s">
        <v>50</v>
      </c>
      <c r="AJ14" s="21" t="s">
        <v>67</v>
      </c>
      <c r="AK14" s="54" t="s">
        <v>50</v>
      </c>
      <c r="AL14" s="1" t="s">
        <v>50</v>
      </c>
    </row>
    <row r="15" spans="1:37" ht="12.75" customHeight="1">
      <c r="A15" s="43"/>
      <c r="B15" s="13"/>
      <c r="C15" s="13"/>
      <c r="D15" s="31"/>
      <c r="E15" s="14" t="s">
        <v>50</v>
      </c>
      <c r="F15" s="14"/>
      <c r="G15" s="14"/>
      <c r="H15" s="14"/>
      <c r="I15" s="31"/>
      <c r="J15" s="31"/>
      <c r="K15" s="15"/>
      <c r="L15" s="15"/>
      <c r="M15" s="15"/>
      <c r="N15" s="15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3"/>
      <c r="Z15" s="44"/>
      <c r="AA15" s="43"/>
      <c r="AB15" s="13"/>
      <c r="AC15" s="13"/>
      <c r="AD15" s="13"/>
      <c r="AE15" s="13"/>
      <c r="AF15" s="13"/>
      <c r="AG15" s="13"/>
      <c r="AH15" s="13"/>
      <c r="AI15" s="13"/>
      <c r="AJ15" s="13"/>
      <c r="AK15" s="44"/>
    </row>
    <row r="16" spans="1:38" ht="12.75" customHeight="1">
      <c r="A16" s="41">
        <v>317</v>
      </c>
      <c r="B16" s="10">
        <v>1100</v>
      </c>
      <c r="C16" s="10" t="s">
        <v>69</v>
      </c>
      <c r="D16" s="16">
        <v>2079.7</v>
      </c>
      <c r="E16" s="20" t="s">
        <v>70</v>
      </c>
      <c r="F16" s="20" t="s">
        <v>71</v>
      </c>
      <c r="G16" s="12">
        <v>3</v>
      </c>
      <c r="H16" s="12">
        <v>14</v>
      </c>
      <c r="I16" s="16">
        <f>ROUND(G16,0)</f>
        <v>3</v>
      </c>
      <c r="J16" s="16">
        <f>ROUND(H16,0)</f>
        <v>14</v>
      </c>
      <c r="K16" s="18" t="str">
        <f>IF(I16=J16,"TAM",(CONCATENATE(G16,"/",H16)))</f>
        <v>3/14</v>
      </c>
      <c r="L16" s="29">
        <f>2079.7*3/14</f>
        <v>445.6499999999999</v>
      </c>
      <c r="M16" s="30">
        <v>0</v>
      </c>
      <c r="N16" s="16" t="str">
        <f>IF(M16=0,"0",(O16*M16))</f>
        <v>0</v>
      </c>
      <c r="O16" s="16">
        <f>IF(W16=1,L16,((D16*G16/H16)-P16)/(1-V16)-S16-T16)</f>
        <v>445.65</v>
      </c>
      <c r="P16" s="16">
        <v>0</v>
      </c>
      <c r="Q16" s="16">
        <f>IF(U16=0,"0",O16*U16)</f>
        <v>149.18242119356023</v>
      </c>
      <c r="R16" s="17">
        <f>IF(U16=0,(((D16*G16/H16)-P16-S16-T16)/(1-V16)),(((D16*G16/H16)-P16-S16-T16)/(1-V16))-((D16*G16/H16)-P16-S16-T16)*U16/(1-V16))</f>
        <v>296.46757880643975</v>
      </c>
      <c r="S16" s="12">
        <v>0</v>
      </c>
      <c r="T16" s="12">
        <v>0</v>
      </c>
      <c r="U16" s="12">
        <v>0.334752431714485</v>
      </c>
      <c r="V16" s="12">
        <v>0</v>
      </c>
      <c r="W16" s="28">
        <f>IF(V16&gt;U16,1,V16)</f>
        <v>0</v>
      </c>
      <c r="X16" s="12">
        <v>1</v>
      </c>
      <c r="Y16" s="16">
        <v>0</v>
      </c>
      <c r="Z16" s="42" t="str">
        <f>IF(OR(W16=1,W16=0),"0",(Q16-N16))</f>
        <v>0</v>
      </c>
      <c r="AA16" s="53" t="s">
        <v>72</v>
      </c>
      <c r="AB16" s="16" t="s">
        <v>74</v>
      </c>
      <c r="AC16" s="16">
        <v>36.64</v>
      </c>
      <c r="AD16" s="16">
        <v>473.32</v>
      </c>
      <c r="AE16" s="16">
        <f>ROUND(AC16*100,0)</f>
        <v>3664</v>
      </c>
      <c r="AF16" s="16">
        <f>ROUND(AD16*100,0)</f>
        <v>47332</v>
      </c>
      <c r="AG16" s="19" t="str">
        <f>IF(AC16=AD16,"TAM",(CONCATENATE(AE16,"/",AF16)))</f>
        <v>3664/47332</v>
      </c>
      <c r="AH16" s="11" t="s">
        <v>50</v>
      </c>
      <c r="AI16" s="21" t="s">
        <v>50</v>
      </c>
      <c r="AJ16" s="21" t="s">
        <v>73</v>
      </c>
      <c r="AK16" s="54" t="s">
        <v>50</v>
      </c>
      <c r="AL16" s="1" t="s">
        <v>50</v>
      </c>
    </row>
    <row r="17" spans="1:37" ht="12.75" customHeight="1">
      <c r="A17" s="43"/>
      <c r="B17" s="13"/>
      <c r="C17" s="13"/>
      <c r="D17" s="31"/>
      <c r="E17" s="14" t="s">
        <v>50</v>
      </c>
      <c r="F17" s="14"/>
      <c r="G17" s="14"/>
      <c r="H17" s="14"/>
      <c r="I17" s="31"/>
      <c r="J17" s="31"/>
      <c r="K17" s="15"/>
      <c r="L17" s="15"/>
      <c r="M17" s="15"/>
      <c r="N17" s="15"/>
      <c r="O17" s="15"/>
      <c r="P17" s="14"/>
      <c r="Q17" s="14"/>
      <c r="R17" s="14"/>
      <c r="S17" s="14"/>
      <c r="T17" s="14"/>
      <c r="U17" s="14"/>
      <c r="V17" s="14"/>
      <c r="W17" s="14"/>
      <c r="X17" s="14"/>
      <c r="Y17" s="13"/>
      <c r="Z17" s="44"/>
      <c r="AA17" s="43"/>
      <c r="AB17" s="13"/>
      <c r="AC17" s="13"/>
      <c r="AD17" s="13"/>
      <c r="AE17" s="13"/>
      <c r="AF17" s="13"/>
      <c r="AG17" s="13"/>
      <c r="AH17" s="13"/>
      <c r="AI17" s="13"/>
      <c r="AJ17" s="13"/>
      <c r="AK17" s="44"/>
    </row>
    <row r="18" spans="1:38" ht="12.75" customHeight="1">
      <c r="A18" s="41">
        <v>316</v>
      </c>
      <c r="B18" s="10">
        <v>1100</v>
      </c>
      <c r="C18" s="10" t="s">
        <v>75</v>
      </c>
      <c r="D18" s="16">
        <v>2079.7</v>
      </c>
      <c r="E18" s="20" t="s">
        <v>76</v>
      </c>
      <c r="F18" s="20" t="s">
        <v>77</v>
      </c>
      <c r="G18" s="12">
        <v>8</v>
      </c>
      <c r="H18" s="12">
        <v>14</v>
      </c>
      <c r="I18" s="16">
        <f>ROUND(G18,0)</f>
        <v>8</v>
      </c>
      <c r="J18" s="16">
        <f>ROUND(H18,0)</f>
        <v>14</v>
      </c>
      <c r="K18" s="18" t="str">
        <f>IF(I18=J18,"TAM",(CONCATENATE(G18,"/",H18)))</f>
        <v>8/14</v>
      </c>
      <c r="L18" s="29">
        <f>2079.7*8/14</f>
        <v>1188.3999999999999</v>
      </c>
      <c r="M18" s="30">
        <v>0</v>
      </c>
      <c r="N18" s="16" t="str">
        <f>IF(M18=0,"0",(O18*M18))</f>
        <v>0</v>
      </c>
      <c r="O18" s="16">
        <f>IF(W18=1,L18,((D18*G18/H18)-P18)/(1-V18)-S18-T18)</f>
        <v>1188.3999999999999</v>
      </c>
      <c r="P18" s="16">
        <v>0</v>
      </c>
      <c r="Q18" s="16">
        <f>IF(U18=0,"0",O18*U18)</f>
        <v>397.81978984949393</v>
      </c>
      <c r="R18" s="17">
        <f>IF(U18=0,(((D18*G18/H18)-P18-S18-T18)/(1-V18)),(((D18*G18/H18)-P18-S18-T18)/(1-V18))-((D18*G18/H18)-P18-S18-T18)*U18/(1-V18))</f>
        <v>790.580210150506</v>
      </c>
      <c r="S18" s="12">
        <v>0</v>
      </c>
      <c r="T18" s="12">
        <v>0</v>
      </c>
      <c r="U18" s="12">
        <v>0.334752431714485</v>
      </c>
      <c r="V18" s="12">
        <v>0</v>
      </c>
      <c r="W18" s="28">
        <f>IF(V18&gt;U18,1,V18)</f>
        <v>0</v>
      </c>
      <c r="X18" s="12">
        <v>1</v>
      </c>
      <c r="Y18" s="16">
        <v>0</v>
      </c>
      <c r="Z18" s="42" t="str">
        <f>IF(OR(W18=1,W18=0),"0",(Q18-N18))</f>
        <v>0</v>
      </c>
      <c r="AA18" s="53" t="s">
        <v>78</v>
      </c>
      <c r="AB18" s="16" t="s">
        <v>80</v>
      </c>
      <c r="AC18" s="16">
        <v>97.7</v>
      </c>
      <c r="AD18" s="16">
        <v>473.32</v>
      </c>
      <c r="AE18" s="16">
        <f>ROUND(AC18*100,0)</f>
        <v>9770</v>
      </c>
      <c r="AF18" s="16">
        <f>ROUND(AD18*100,0)</f>
        <v>47332</v>
      </c>
      <c r="AG18" s="19" t="str">
        <f>IF(AC18=AD18,"TAM",(CONCATENATE(AE18,"/",AF18)))</f>
        <v>9770/47332</v>
      </c>
      <c r="AH18" s="11" t="s">
        <v>50</v>
      </c>
      <c r="AI18" s="21" t="s">
        <v>50</v>
      </c>
      <c r="AJ18" s="21" t="s">
        <v>79</v>
      </c>
      <c r="AK18" s="54" t="s">
        <v>50</v>
      </c>
      <c r="AL18" s="1" t="s">
        <v>50</v>
      </c>
    </row>
    <row r="19" spans="1:37" ht="12.75" customHeight="1">
      <c r="A19" s="43"/>
      <c r="B19" s="13"/>
      <c r="C19" s="13"/>
      <c r="D19" s="31"/>
      <c r="E19" s="14" t="s">
        <v>50</v>
      </c>
      <c r="F19" s="14"/>
      <c r="G19" s="14"/>
      <c r="H19" s="14"/>
      <c r="I19" s="31"/>
      <c r="J19" s="31"/>
      <c r="K19" s="15"/>
      <c r="L19" s="15"/>
      <c r="M19" s="15"/>
      <c r="N19" s="15"/>
      <c r="O19" s="15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44"/>
      <c r="AA19" s="43"/>
      <c r="AB19" s="13"/>
      <c r="AC19" s="13"/>
      <c r="AD19" s="13"/>
      <c r="AE19" s="13"/>
      <c r="AF19" s="13"/>
      <c r="AG19" s="13"/>
      <c r="AH19" s="13"/>
      <c r="AI19" s="13"/>
      <c r="AJ19" s="13"/>
      <c r="AK19" s="44"/>
    </row>
    <row r="20" spans="1:38" ht="12.75" customHeight="1">
      <c r="A20" s="41">
        <v>472</v>
      </c>
      <c r="B20" s="10">
        <v>1276</v>
      </c>
      <c r="C20" s="10" t="s">
        <v>81</v>
      </c>
      <c r="D20" s="16">
        <v>183.19</v>
      </c>
      <c r="E20" s="20" t="s">
        <v>82</v>
      </c>
      <c r="F20" s="20" t="s">
        <v>83</v>
      </c>
      <c r="G20" s="12">
        <v>4</v>
      </c>
      <c r="H20" s="12">
        <v>16</v>
      </c>
      <c r="I20" s="16">
        <f>ROUND(G20,0)</f>
        <v>4</v>
      </c>
      <c r="J20" s="16">
        <f>ROUND(H20,0)</f>
        <v>16</v>
      </c>
      <c r="K20" s="18" t="str">
        <f>IF(I20=J20,"TAM",(CONCATENATE(G20,"/",H20)))</f>
        <v>4/16</v>
      </c>
      <c r="L20" s="29">
        <f>183.19*4/16</f>
        <v>45.7975</v>
      </c>
      <c r="M20" s="30">
        <v>0</v>
      </c>
      <c r="N20" s="16" t="str">
        <f>IF(M20=0,"0",(O20*M20))</f>
        <v>0</v>
      </c>
      <c r="O20" s="16">
        <f>IF(W20=1,L20,((D20*G20/H20)-P20)/(1-V20)-S20-T20)</f>
        <v>45.7975</v>
      </c>
      <c r="P20" s="16">
        <v>0</v>
      </c>
      <c r="Q20" s="16">
        <f>IF(U20=0,"0",O20*U20)</f>
        <v>15.330824491444126</v>
      </c>
      <c r="R20" s="17">
        <f>IF(U20=0,(((D20*G20/H20)-P20-S20-T20)/(1-V20)),(((D20*G20/H20)-P20-S20-T20)/(1-V20))-((D20*G20/H20)-P20-S20-T20)*U20/(1-V20))</f>
        <v>30.466675508555873</v>
      </c>
      <c r="S20" s="12">
        <v>0</v>
      </c>
      <c r="T20" s="12">
        <v>0</v>
      </c>
      <c r="U20" s="12">
        <v>0.334752431714485</v>
      </c>
      <c r="V20" s="12">
        <v>0</v>
      </c>
      <c r="W20" s="28">
        <f>IF(V20&gt;U20,1,V20)</f>
        <v>0</v>
      </c>
      <c r="X20" s="12">
        <v>1</v>
      </c>
      <c r="Y20" s="16">
        <v>0</v>
      </c>
      <c r="Z20" s="42" t="str">
        <f>IF(OR(W20=1,W20=0),"0",(Q20-N20))</f>
        <v>0</v>
      </c>
      <c r="AA20" s="53" t="s">
        <v>84</v>
      </c>
      <c r="AB20" s="16" t="s">
        <v>86</v>
      </c>
      <c r="AC20" s="16">
        <v>30.47</v>
      </c>
      <c r="AD20" s="16">
        <v>473.32</v>
      </c>
      <c r="AE20" s="16">
        <f>ROUND(AC20*100,0)</f>
        <v>3047</v>
      </c>
      <c r="AF20" s="16">
        <f>ROUND(AD20*100,0)</f>
        <v>47332</v>
      </c>
      <c r="AG20" s="19" t="str">
        <f>IF(AC20=AD20,"TAM",(CONCATENATE(AE20,"/",AF20)))</f>
        <v>3047/47332</v>
      </c>
      <c r="AH20" s="11" t="s">
        <v>50</v>
      </c>
      <c r="AI20" s="21" t="s">
        <v>50</v>
      </c>
      <c r="AJ20" s="21" t="s">
        <v>85</v>
      </c>
      <c r="AK20" s="54" t="s">
        <v>50</v>
      </c>
      <c r="AL20" s="1" t="s">
        <v>50</v>
      </c>
    </row>
    <row r="21" spans="1:37" ht="12.75" customHeight="1">
      <c r="A21" s="43"/>
      <c r="B21" s="13"/>
      <c r="C21" s="13"/>
      <c r="D21" s="31"/>
      <c r="E21" s="14" t="s">
        <v>50</v>
      </c>
      <c r="F21" s="14"/>
      <c r="G21" s="14"/>
      <c r="H21" s="14"/>
      <c r="I21" s="31"/>
      <c r="J21" s="31"/>
      <c r="K21" s="15"/>
      <c r="L21" s="15"/>
      <c r="M21" s="15"/>
      <c r="N21" s="15"/>
      <c r="O21" s="15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44"/>
      <c r="AA21" s="43"/>
      <c r="AB21" s="13"/>
      <c r="AC21" s="13"/>
      <c r="AD21" s="13"/>
      <c r="AE21" s="13"/>
      <c r="AF21" s="13"/>
      <c r="AG21" s="13"/>
      <c r="AH21" s="13"/>
      <c r="AI21" s="13"/>
      <c r="AJ21" s="13"/>
      <c r="AK21" s="44"/>
    </row>
    <row r="22" spans="1:38" ht="12.75" customHeight="1">
      <c r="A22" s="41">
        <v>474</v>
      </c>
      <c r="B22" s="10">
        <v>1276</v>
      </c>
      <c r="C22" s="10" t="s">
        <v>87</v>
      </c>
      <c r="D22" s="16">
        <v>183.19</v>
      </c>
      <c r="E22" s="20" t="s">
        <v>88</v>
      </c>
      <c r="F22" s="20" t="s">
        <v>89</v>
      </c>
      <c r="G22" s="12">
        <v>3</v>
      </c>
      <c r="H22" s="12">
        <v>16</v>
      </c>
      <c r="I22" s="16">
        <f>ROUND(G22,0)</f>
        <v>3</v>
      </c>
      <c r="J22" s="16">
        <f>ROUND(H22,0)</f>
        <v>16</v>
      </c>
      <c r="K22" s="18" t="str">
        <f>IF(I22=J22,"TAM",(CONCATENATE(G22,"/",H22)))</f>
        <v>3/16</v>
      </c>
      <c r="L22" s="29">
        <f>183.19*3/16</f>
        <v>34.348124999999996</v>
      </c>
      <c r="M22" s="30">
        <v>0</v>
      </c>
      <c r="N22" s="16" t="str">
        <f>IF(M22=0,"0",(O22*M22))</f>
        <v>0</v>
      </c>
      <c r="O22" s="16">
        <f>IF(W22=1,L22,((D22*G22/H22)-P22)/(1-V22)-S22-T22)</f>
        <v>34.348124999999996</v>
      </c>
      <c r="P22" s="16">
        <v>0</v>
      </c>
      <c r="Q22" s="16">
        <f>IF(U22=0,"0",O22*U22)</f>
        <v>11.498118368583093</v>
      </c>
      <c r="R22" s="17">
        <f>IF(U22=0,(((D22*G22/H22)-P22-S22-T22)/(1-V22)),(((D22*G22/H22)-P22-S22-T22)/(1-V22))-((D22*G22/H22)-P22-S22-T22)*U22/(1-V22))</f>
        <v>22.850006631416903</v>
      </c>
      <c r="S22" s="12">
        <v>0</v>
      </c>
      <c r="T22" s="12">
        <v>0</v>
      </c>
      <c r="U22" s="12">
        <v>0.334752431714485</v>
      </c>
      <c r="V22" s="12">
        <v>0</v>
      </c>
      <c r="W22" s="28">
        <f>IF(V22&gt;U22,1,V22)</f>
        <v>0</v>
      </c>
      <c r="X22" s="12">
        <v>1</v>
      </c>
      <c r="Y22" s="16">
        <v>0</v>
      </c>
      <c r="Z22" s="42" t="str">
        <f>IF(OR(W22=1,W22=0),"0",(Q22-N22))</f>
        <v>0</v>
      </c>
      <c r="AA22" s="53" t="s">
        <v>90</v>
      </c>
      <c r="AB22" s="16" t="s">
        <v>92</v>
      </c>
      <c r="AC22" s="16">
        <v>22.85</v>
      </c>
      <c r="AD22" s="16">
        <v>473.32</v>
      </c>
      <c r="AE22" s="16">
        <f>ROUND(AC22*100,0)</f>
        <v>2285</v>
      </c>
      <c r="AF22" s="16">
        <f>ROUND(AD22*100,0)</f>
        <v>47332</v>
      </c>
      <c r="AG22" s="19" t="str">
        <f>IF(AC22=AD22,"TAM",(CONCATENATE(AE22,"/",AF22)))</f>
        <v>2285/47332</v>
      </c>
      <c r="AH22" s="11" t="s">
        <v>50</v>
      </c>
      <c r="AI22" s="21" t="s">
        <v>50</v>
      </c>
      <c r="AJ22" s="21" t="s">
        <v>91</v>
      </c>
      <c r="AK22" s="54" t="s">
        <v>50</v>
      </c>
      <c r="AL22" s="1" t="s">
        <v>50</v>
      </c>
    </row>
    <row r="23" spans="1:37" ht="12.75" customHeight="1">
      <c r="A23" s="43"/>
      <c r="B23" s="13"/>
      <c r="C23" s="13"/>
      <c r="D23" s="31"/>
      <c r="E23" s="14" t="s">
        <v>50</v>
      </c>
      <c r="F23" s="14"/>
      <c r="G23" s="14"/>
      <c r="H23" s="14"/>
      <c r="I23" s="31"/>
      <c r="J23" s="31"/>
      <c r="K23" s="15"/>
      <c r="L23" s="15"/>
      <c r="M23" s="15"/>
      <c r="N23" s="15"/>
      <c r="O23" s="15"/>
      <c r="P23" s="14"/>
      <c r="Q23" s="14"/>
      <c r="R23" s="14"/>
      <c r="S23" s="14"/>
      <c r="T23" s="14"/>
      <c r="U23" s="14"/>
      <c r="V23" s="14"/>
      <c r="W23" s="14"/>
      <c r="X23" s="14"/>
      <c r="Y23" s="13"/>
      <c r="Z23" s="44"/>
      <c r="AA23" s="43"/>
      <c r="AB23" s="13"/>
      <c r="AC23" s="13"/>
      <c r="AD23" s="13"/>
      <c r="AE23" s="13"/>
      <c r="AF23" s="13"/>
      <c r="AG23" s="13"/>
      <c r="AH23" s="13"/>
      <c r="AI23" s="13"/>
      <c r="AJ23" s="13"/>
      <c r="AK23" s="44"/>
    </row>
    <row r="24" spans="1:38" ht="12.75" customHeight="1">
      <c r="A24" s="41">
        <v>475</v>
      </c>
      <c r="B24" s="10">
        <v>1276</v>
      </c>
      <c r="C24" s="10" t="s">
        <v>93</v>
      </c>
      <c r="D24" s="16">
        <v>183.19</v>
      </c>
      <c r="E24" s="20" t="s">
        <v>94</v>
      </c>
      <c r="F24" s="20" t="s">
        <v>95</v>
      </c>
      <c r="G24" s="12">
        <v>3</v>
      </c>
      <c r="H24" s="12">
        <v>16</v>
      </c>
      <c r="I24" s="16">
        <f>ROUND(G24,0)</f>
        <v>3</v>
      </c>
      <c r="J24" s="16">
        <f>ROUND(H24,0)</f>
        <v>16</v>
      </c>
      <c r="K24" s="18" t="str">
        <f>IF(I24=J24,"TAM",(CONCATENATE(G24,"/",H24)))</f>
        <v>3/16</v>
      </c>
      <c r="L24" s="29">
        <f>183.19*3/16</f>
        <v>34.348124999999996</v>
      </c>
      <c r="M24" s="30">
        <v>0</v>
      </c>
      <c r="N24" s="16" t="str">
        <f>IF(M24=0,"0",(O24*M24))</f>
        <v>0</v>
      </c>
      <c r="O24" s="16">
        <f>IF(W24=1,L24,((D24*G24/H24)-P24)/(1-V24)-S24-T24)</f>
        <v>34.348124999999996</v>
      </c>
      <c r="P24" s="16">
        <v>0</v>
      </c>
      <c r="Q24" s="16">
        <f>IF(U24=0,"0",O24*U24)</f>
        <v>11.498118368583093</v>
      </c>
      <c r="R24" s="17">
        <f>IF(U24=0,(((D24*G24/H24)-P24-S24-T24)/(1-V24)),(((D24*G24/H24)-P24-S24-T24)/(1-V24))-((D24*G24/H24)-P24-S24-T24)*U24/(1-V24))</f>
        <v>22.850006631416903</v>
      </c>
      <c r="S24" s="12">
        <v>0</v>
      </c>
      <c r="T24" s="12">
        <v>0</v>
      </c>
      <c r="U24" s="12">
        <v>0.334752431714485</v>
      </c>
      <c r="V24" s="12">
        <v>0</v>
      </c>
      <c r="W24" s="28">
        <f>IF(V24&gt;U24,1,V24)</f>
        <v>0</v>
      </c>
      <c r="X24" s="12">
        <v>1</v>
      </c>
      <c r="Y24" s="16">
        <v>0</v>
      </c>
      <c r="Z24" s="42" t="str">
        <f>IF(OR(W24=1,W24=0),"0",(Q24-N24))</f>
        <v>0</v>
      </c>
      <c r="AA24" s="53" t="s">
        <v>97</v>
      </c>
      <c r="AB24" s="16" t="s">
        <v>99</v>
      </c>
      <c r="AC24" s="16">
        <v>22.85</v>
      </c>
      <c r="AD24" s="16">
        <v>473.32</v>
      </c>
      <c r="AE24" s="16">
        <f>ROUND(AC24*100,0)</f>
        <v>2285</v>
      </c>
      <c r="AF24" s="16">
        <f>ROUND(AD24*100,0)</f>
        <v>47332</v>
      </c>
      <c r="AG24" s="19" t="str">
        <f>IF(AC24=AD24,"TAM",(CONCATENATE(AE24,"/",AF24)))</f>
        <v>2285/47332</v>
      </c>
      <c r="AH24" s="11" t="s">
        <v>50</v>
      </c>
      <c r="AI24" s="21" t="s">
        <v>50</v>
      </c>
      <c r="AJ24" s="21" t="s">
        <v>98</v>
      </c>
      <c r="AK24" s="54" t="s">
        <v>50</v>
      </c>
      <c r="AL24" s="1" t="s">
        <v>50</v>
      </c>
    </row>
    <row r="25" spans="1:37" ht="36.75" customHeight="1">
      <c r="A25" s="43"/>
      <c r="B25" s="13"/>
      <c r="C25" s="13"/>
      <c r="D25" s="31"/>
      <c r="E25" s="34" t="s">
        <v>96</v>
      </c>
      <c r="F25" s="14"/>
      <c r="G25" s="14"/>
      <c r="H25" s="14"/>
      <c r="I25" s="31"/>
      <c r="J25" s="31"/>
      <c r="K25" s="15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4"/>
      <c r="W25" s="14"/>
      <c r="X25" s="14"/>
      <c r="Y25" s="13"/>
      <c r="Z25" s="44"/>
      <c r="AA25" s="43"/>
      <c r="AB25" s="13"/>
      <c r="AC25" s="13"/>
      <c r="AD25" s="13"/>
      <c r="AE25" s="13"/>
      <c r="AF25" s="13"/>
      <c r="AG25" s="13"/>
      <c r="AH25" s="13"/>
      <c r="AI25" s="13"/>
      <c r="AJ25" s="13"/>
      <c r="AK25" s="44"/>
    </row>
    <row r="26" spans="1:38" ht="12.75" customHeight="1">
      <c r="A26" s="41">
        <v>479</v>
      </c>
      <c r="B26" s="10">
        <v>1276</v>
      </c>
      <c r="C26" s="10" t="s">
        <v>100</v>
      </c>
      <c r="D26" s="16">
        <v>183.19</v>
      </c>
      <c r="E26" s="20" t="s">
        <v>101</v>
      </c>
      <c r="F26" s="20" t="s">
        <v>102</v>
      </c>
      <c r="G26" s="12">
        <v>3</v>
      </c>
      <c r="H26" s="12">
        <v>16</v>
      </c>
      <c r="I26" s="16">
        <f>ROUND(G26,0)</f>
        <v>3</v>
      </c>
      <c r="J26" s="16">
        <f>ROUND(H26,0)</f>
        <v>16</v>
      </c>
      <c r="K26" s="18" t="str">
        <f>IF(I26=J26,"TAM",(CONCATENATE(G26,"/",H26)))</f>
        <v>3/16</v>
      </c>
      <c r="L26" s="29">
        <f>183.19*3/16</f>
        <v>34.348124999999996</v>
      </c>
      <c r="M26" s="30">
        <v>0</v>
      </c>
      <c r="N26" s="16" t="str">
        <f>IF(M26=0,"0",(O26*M26))</f>
        <v>0</v>
      </c>
      <c r="O26" s="16">
        <f>IF(W26=1,L26,((D26*G26/H26)-P26)/(1-V26)-S26-T26)</f>
        <v>34.348124999999996</v>
      </c>
      <c r="P26" s="16">
        <v>0</v>
      </c>
      <c r="Q26" s="16">
        <f>IF(U26=0,"0",O26*U26)</f>
        <v>11.498118368583093</v>
      </c>
      <c r="R26" s="17">
        <f>IF(U26=0,(((D26*G26/H26)-P26-S26-T26)/(1-V26)),(((D26*G26/H26)-P26-S26-T26)/(1-V26))-((D26*G26/H26)-P26-S26-T26)*U26/(1-V26))</f>
        <v>22.850006631416903</v>
      </c>
      <c r="S26" s="12">
        <v>0</v>
      </c>
      <c r="T26" s="12">
        <v>0</v>
      </c>
      <c r="U26" s="12">
        <v>0.334752431714485</v>
      </c>
      <c r="V26" s="12">
        <v>0</v>
      </c>
      <c r="W26" s="28">
        <f>IF(V26&gt;U26,1,V26)</f>
        <v>0</v>
      </c>
      <c r="X26" s="12">
        <v>1</v>
      </c>
      <c r="Y26" s="16">
        <v>0</v>
      </c>
      <c r="Z26" s="42" t="str">
        <f>IF(OR(W26=1,W26=0),"0",(Q26-N26))</f>
        <v>0</v>
      </c>
      <c r="AA26" s="53" t="s">
        <v>104</v>
      </c>
      <c r="AB26" s="16" t="s">
        <v>106</v>
      </c>
      <c r="AC26" s="16">
        <v>22.85</v>
      </c>
      <c r="AD26" s="16">
        <v>473.32</v>
      </c>
      <c r="AE26" s="16">
        <f>ROUND(AC26*100,0)</f>
        <v>2285</v>
      </c>
      <c r="AF26" s="16">
        <f>ROUND(AD26*100,0)</f>
        <v>47332</v>
      </c>
      <c r="AG26" s="19" t="str">
        <f>IF(AC26=AD26,"TAM",(CONCATENATE(AE26,"/",AF26)))</f>
        <v>2285/47332</v>
      </c>
      <c r="AH26" s="11" t="s">
        <v>50</v>
      </c>
      <c r="AI26" s="21" t="s">
        <v>50</v>
      </c>
      <c r="AJ26" s="21" t="s">
        <v>105</v>
      </c>
      <c r="AK26" s="54" t="s">
        <v>50</v>
      </c>
      <c r="AL26" s="1" t="s">
        <v>50</v>
      </c>
    </row>
    <row r="27" spans="1:37" ht="34.5" customHeight="1">
      <c r="A27" s="43"/>
      <c r="B27" s="13"/>
      <c r="C27" s="13"/>
      <c r="D27" s="31"/>
      <c r="E27" s="34" t="s">
        <v>103</v>
      </c>
      <c r="F27" s="14"/>
      <c r="G27" s="14"/>
      <c r="H27" s="14"/>
      <c r="I27" s="31"/>
      <c r="J27" s="31"/>
      <c r="K27" s="15"/>
      <c r="L27" s="15"/>
      <c r="M27" s="15"/>
      <c r="N27" s="15"/>
      <c r="O27" s="15"/>
      <c r="P27" s="14"/>
      <c r="Q27" s="14"/>
      <c r="R27" s="14"/>
      <c r="S27" s="14"/>
      <c r="T27" s="14"/>
      <c r="U27" s="14"/>
      <c r="V27" s="14"/>
      <c r="W27" s="14"/>
      <c r="X27" s="14"/>
      <c r="Y27" s="13"/>
      <c r="Z27" s="44"/>
      <c r="AA27" s="43"/>
      <c r="AB27" s="13"/>
      <c r="AC27" s="13"/>
      <c r="AD27" s="13"/>
      <c r="AE27" s="13"/>
      <c r="AF27" s="13"/>
      <c r="AG27" s="13"/>
      <c r="AH27" s="13"/>
      <c r="AI27" s="13"/>
      <c r="AJ27" s="13"/>
      <c r="AK27" s="44"/>
    </row>
    <row r="28" spans="1:38" ht="12.75" customHeight="1">
      <c r="A28" s="41">
        <v>473</v>
      </c>
      <c r="B28" s="10">
        <v>1276</v>
      </c>
      <c r="C28" s="10" t="s">
        <v>107</v>
      </c>
      <c r="D28" s="16">
        <v>183.19</v>
      </c>
      <c r="E28" s="20" t="s">
        <v>108</v>
      </c>
      <c r="F28" s="20" t="s">
        <v>109</v>
      </c>
      <c r="G28" s="12">
        <v>3</v>
      </c>
      <c r="H28" s="12">
        <v>16</v>
      </c>
      <c r="I28" s="16">
        <f>ROUND(G28,0)</f>
        <v>3</v>
      </c>
      <c r="J28" s="16">
        <f>ROUND(H28,0)</f>
        <v>16</v>
      </c>
      <c r="K28" s="18" t="str">
        <f>IF(I28=J28,"TAM",(CONCATENATE(G28,"/",H28)))</f>
        <v>3/16</v>
      </c>
      <c r="L28" s="29">
        <f>183.19*3/16</f>
        <v>34.348124999999996</v>
      </c>
      <c r="M28" s="30">
        <v>0</v>
      </c>
      <c r="N28" s="16" t="str">
        <f>IF(M28=0,"0",(O28*M28))</f>
        <v>0</v>
      </c>
      <c r="O28" s="16">
        <f>IF(W28=1,L28,((D28*G28/H28)-P28)/(1-V28)-S28-T28)</f>
        <v>34.348124999999996</v>
      </c>
      <c r="P28" s="16">
        <v>0</v>
      </c>
      <c r="Q28" s="16">
        <f>IF(U28=0,"0",O28*U28)</f>
        <v>11.498118368583093</v>
      </c>
      <c r="R28" s="17">
        <f>IF(U28=0,(((D28*G28/H28)-P28-S28-T28)/(1-V28)),(((D28*G28/H28)-P28-S28-T28)/(1-V28))-((D28*G28/H28)-P28-S28-T28)*U28/(1-V28))</f>
        <v>22.850006631416903</v>
      </c>
      <c r="S28" s="12">
        <v>0</v>
      </c>
      <c r="T28" s="12">
        <v>0</v>
      </c>
      <c r="U28" s="12">
        <v>0.334752431714485</v>
      </c>
      <c r="V28" s="12">
        <v>0</v>
      </c>
      <c r="W28" s="28">
        <f>IF(V28&gt;U28,1,V28)</f>
        <v>0</v>
      </c>
      <c r="X28" s="12">
        <v>1</v>
      </c>
      <c r="Y28" s="16">
        <v>0</v>
      </c>
      <c r="Z28" s="42" t="str">
        <f>IF(OR(W28=1,W28=0),"0",(Q28-N28))</f>
        <v>0</v>
      </c>
      <c r="AA28" s="53" t="s">
        <v>110</v>
      </c>
      <c r="AB28" s="16" t="s">
        <v>112</v>
      </c>
      <c r="AC28" s="16">
        <v>22.85</v>
      </c>
      <c r="AD28" s="16">
        <v>473.32</v>
      </c>
      <c r="AE28" s="16">
        <f>ROUND(AC28*100,0)</f>
        <v>2285</v>
      </c>
      <c r="AF28" s="16">
        <f>ROUND(AD28*100,0)</f>
        <v>47332</v>
      </c>
      <c r="AG28" s="19" t="str">
        <f>IF(AC28=AD28,"TAM",(CONCATENATE(AE28,"/",AF28)))</f>
        <v>2285/47332</v>
      </c>
      <c r="AH28" s="11" t="s">
        <v>50</v>
      </c>
      <c r="AI28" s="21" t="s">
        <v>50</v>
      </c>
      <c r="AJ28" s="21" t="s">
        <v>111</v>
      </c>
      <c r="AK28" s="54" t="s">
        <v>50</v>
      </c>
      <c r="AL28" s="1" t="s">
        <v>50</v>
      </c>
    </row>
    <row r="29" spans="1:37" ht="12.75" customHeight="1">
      <c r="A29" s="43"/>
      <c r="B29" s="13"/>
      <c r="C29" s="13"/>
      <c r="D29" s="31"/>
      <c r="E29" s="14" t="s">
        <v>50</v>
      </c>
      <c r="F29" s="14"/>
      <c r="G29" s="14"/>
      <c r="H29" s="14"/>
      <c r="I29" s="31"/>
      <c r="J29" s="31"/>
      <c r="K29" s="15"/>
      <c r="L29" s="15"/>
      <c r="M29" s="15"/>
      <c r="N29" s="15"/>
      <c r="O29" s="15"/>
      <c r="P29" s="14"/>
      <c r="Q29" s="14"/>
      <c r="R29" s="14"/>
      <c r="S29" s="14"/>
      <c r="T29" s="14"/>
      <c r="U29" s="14"/>
      <c r="V29" s="14"/>
      <c r="W29" s="14"/>
      <c r="X29" s="14"/>
      <c r="Y29" s="13"/>
      <c r="Z29" s="44"/>
      <c r="AA29" s="43"/>
      <c r="AB29" s="13"/>
      <c r="AC29" s="13"/>
      <c r="AD29" s="13"/>
      <c r="AE29" s="13"/>
      <c r="AF29" s="13"/>
      <c r="AG29" s="13"/>
      <c r="AH29" s="13"/>
      <c r="AI29" s="13"/>
      <c r="AJ29" s="13"/>
      <c r="AK29" s="44"/>
    </row>
    <row r="30" spans="1:38" ht="12.75" customHeight="1">
      <c r="A30" s="41">
        <v>484</v>
      </c>
      <c r="B30" s="10">
        <v>1278</v>
      </c>
      <c r="C30" s="10" t="s">
        <v>113</v>
      </c>
      <c r="D30" s="16">
        <v>122.22</v>
      </c>
      <c r="E30" s="20" t="s">
        <v>114</v>
      </c>
      <c r="F30" s="20" t="s">
        <v>115</v>
      </c>
      <c r="G30" s="12">
        <v>1</v>
      </c>
      <c r="H30" s="12">
        <v>1</v>
      </c>
      <c r="I30" s="16">
        <f>ROUND(G30,0)</f>
        <v>1</v>
      </c>
      <c r="J30" s="16">
        <f>ROUND(H30,0)</f>
        <v>1</v>
      </c>
      <c r="K30" s="18" t="str">
        <f>IF(I30=J30,"TAM",(CONCATENATE(G30,"/",H30)))</f>
        <v>TAM</v>
      </c>
      <c r="L30" s="29">
        <f>122.22*1/1</f>
        <v>122.22</v>
      </c>
      <c r="M30" s="30">
        <v>0</v>
      </c>
      <c r="N30" s="16" t="str">
        <f>IF(M30=0,"0",(O30*M30))</f>
        <v>0</v>
      </c>
      <c r="O30" s="16">
        <f>IF(W30=1,L30,((D30*G30/H30)-P30)/(1-V30)-S30-T30)</f>
        <v>122.22</v>
      </c>
      <c r="P30" s="16">
        <v>0</v>
      </c>
      <c r="Q30" s="16">
        <f>IF(U30=0,"0",O30*U30)</f>
        <v>40.91344220414435</v>
      </c>
      <c r="R30" s="17">
        <f>IF(U30=0,(((D30*G30/H30)-P30-S30-T30)/(1-V30)),(((D30*G30/H30)-P30-S30-T30)/(1-V30))-((D30*G30/H30)-P30-S30-T30)*U30/(1-V30))</f>
        <v>81.30655779585564</v>
      </c>
      <c r="S30" s="12">
        <v>0</v>
      </c>
      <c r="T30" s="12">
        <v>0</v>
      </c>
      <c r="U30" s="12">
        <v>0.334752431714485</v>
      </c>
      <c r="V30" s="12">
        <v>0</v>
      </c>
      <c r="W30" s="28">
        <f>IF(V30&gt;U30,1,V30)</f>
        <v>0</v>
      </c>
      <c r="X30" s="12">
        <v>1</v>
      </c>
      <c r="Y30" s="16">
        <v>0</v>
      </c>
      <c r="Z30" s="42" t="str">
        <f>IF(OR(W30=1,W30=0),"0",(Q30-N30))</f>
        <v>0</v>
      </c>
      <c r="AA30" s="53" t="s">
        <v>117</v>
      </c>
      <c r="AB30" s="16" t="s">
        <v>119</v>
      </c>
      <c r="AC30" s="16">
        <v>81.31</v>
      </c>
      <c r="AD30" s="16">
        <v>473.32</v>
      </c>
      <c r="AE30" s="16">
        <f>ROUND(AC30*100,0)</f>
        <v>8131</v>
      </c>
      <c r="AF30" s="16">
        <f>ROUND(AD30*100,0)</f>
        <v>47332</v>
      </c>
      <c r="AG30" s="19" t="str">
        <f>IF(AC30=AD30,"TAM",(CONCATENATE(AE30,"/",AF30)))</f>
        <v>8131/47332</v>
      </c>
      <c r="AH30" s="11" t="s">
        <v>50</v>
      </c>
      <c r="AI30" s="21" t="s">
        <v>50</v>
      </c>
      <c r="AJ30" s="21" t="s">
        <v>118</v>
      </c>
      <c r="AK30" s="54" t="s">
        <v>50</v>
      </c>
      <c r="AL30" s="1" t="s">
        <v>50</v>
      </c>
    </row>
    <row r="31" spans="1:37" ht="32.25" customHeight="1">
      <c r="A31" s="43"/>
      <c r="B31" s="13"/>
      <c r="C31" s="13"/>
      <c r="D31" s="31"/>
      <c r="E31" s="34" t="s">
        <v>116</v>
      </c>
      <c r="F31" s="14"/>
      <c r="G31" s="14"/>
      <c r="H31" s="14"/>
      <c r="I31" s="31"/>
      <c r="J31" s="31"/>
      <c r="K31" s="15"/>
      <c r="L31" s="15"/>
      <c r="M31" s="15"/>
      <c r="N31" s="15"/>
      <c r="O31" s="15"/>
      <c r="P31" s="14"/>
      <c r="Q31" s="14"/>
      <c r="R31" s="14"/>
      <c r="S31" s="14"/>
      <c r="T31" s="14"/>
      <c r="U31" s="14"/>
      <c r="V31" s="14"/>
      <c r="W31" s="14"/>
      <c r="X31" s="14"/>
      <c r="Y31" s="13"/>
      <c r="Z31" s="44"/>
      <c r="AA31" s="43"/>
      <c r="AB31" s="13"/>
      <c r="AC31" s="13"/>
      <c r="AD31" s="13"/>
      <c r="AE31" s="13"/>
      <c r="AF31" s="13"/>
      <c r="AG31" s="13"/>
      <c r="AH31" s="13"/>
      <c r="AI31" s="13"/>
      <c r="AJ31" s="13"/>
      <c r="AK31" s="44"/>
    </row>
    <row r="32" spans="1:38" ht="12.75" customHeight="1">
      <c r="A32" s="41">
        <v>488</v>
      </c>
      <c r="B32" s="10">
        <v>1279</v>
      </c>
      <c r="C32" s="10" t="s">
        <v>120</v>
      </c>
      <c r="D32" s="16">
        <v>149.06</v>
      </c>
      <c r="E32" s="20" t="s">
        <v>121</v>
      </c>
      <c r="F32" s="20" t="s">
        <v>122</v>
      </c>
      <c r="G32" s="12">
        <v>1</v>
      </c>
      <c r="H32" s="12">
        <v>2</v>
      </c>
      <c r="I32" s="16">
        <f>ROUND(G32,0)</f>
        <v>1</v>
      </c>
      <c r="J32" s="16">
        <f>ROUND(H32,0)</f>
        <v>2</v>
      </c>
      <c r="K32" s="18" t="str">
        <f>IF(I32=J32,"TAM",(CONCATENATE(G32,"/",H32)))</f>
        <v>1/2</v>
      </c>
      <c r="L32" s="29">
        <f>149.06*1/2</f>
        <v>74.53</v>
      </c>
      <c r="M32" s="30">
        <v>0</v>
      </c>
      <c r="N32" s="16" t="str">
        <f>IF(M32=0,"0",(O32*M32))</f>
        <v>0</v>
      </c>
      <c r="O32" s="16">
        <f>IF(W32=1,L32,((D32*G32/H32)-P32)/(1-V32)-S32-T32)</f>
        <v>74.53</v>
      </c>
      <c r="P32" s="16">
        <v>0</v>
      </c>
      <c r="Q32" s="16">
        <f>IF(U32=0,"0",O32*U32)</f>
        <v>24.94909873568057</v>
      </c>
      <c r="R32" s="17">
        <f>IF(U32=0,(((D32*G32/H32)-P32-S32-T32)/(1-V32)),(((D32*G32/H32)-P32-S32-T32)/(1-V32))-((D32*G32/H32)-P32-S32-T32)*U32/(1-V32))</f>
        <v>49.58090126431944</v>
      </c>
      <c r="S32" s="12">
        <v>0</v>
      </c>
      <c r="T32" s="12">
        <v>0</v>
      </c>
      <c r="U32" s="12">
        <v>0.334752431714485</v>
      </c>
      <c r="V32" s="12">
        <v>0</v>
      </c>
      <c r="W32" s="28">
        <f>IF(V32&gt;U32,1,V32)</f>
        <v>0</v>
      </c>
      <c r="X32" s="12">
        <v>1</v>
      </c>
      <c r="Y32" s="16">
        <v>0</v>
      </c>
      <c r="Z32" s="42" t="str">
        <f>IF(OR(W32=1,W32=0),"0",(Q32-N32))</f>
        <v>0</v>
      </c>
      <c r="AA32" s="53" t="s">
        <v>123</v>
      </c>
      <c r="AB32" s="16" t="s">
        <v>125</v>
      </c>
      <c r="AC32" s="16">
        <v>49.58</v>
      </c>
      <c r="AD32" s="16">
        <v>473.32</v>
      </c>
      <c r="AE32" s="16">
        <f>ROUND(AC32*100,0)</f>
        <v>4958</v>
      </c>
      <c r="AF32" s="16">
        <f>ROUND(AD32*100,0)</f>
        <v>47332</v>
      </c>
      <c r="AG32" s="19" t="str">
        <f>IF(AC32=AD32,"TAM",(CONCATENATE(AE32,"/",AF32)))</f>
        <v>4958/47332</v>
      </c>
      <c r="AH32" s="11" t="s">
        <v>50</v>
      </c>
      <c r="AI32" s="21" t="s">
        <v>50</v>
      </c>
      <c r="AJ32" s="21" t="s">
        <v>124</v>
      </c>
      <c r="AK32" s="54" t="s">
        <v>50</v>
      </c>
      <c r="AL32" s="1" t="s">
        <v>50</v>
      </c>
    </row>
    <row r="33" spans="1:37" ht="12.75" customHeight="1">
      <c r="A33" s="43"/>
      <c r="B33" s="13"/>
      <c r="C33" s="13"/>
      <c r="D33" s="31"/>
      <c r="E33" s="14" t="s">
        <v>50</v>
      </c>
      <c r="F33" s="14"/>
      <c r="G33" s="14"/>
      <c r="H33" s="14"/>
      <c r="I33" s="31"/>
      <c r="J33" s="31"/>
      <c r="K33" s="15"/>
      <c r="L33" s="15"/>
      <c r="M33" s="15"/>
      <c r="N33" s="15"/>
      <c r="O33" s="15"/>
      <c r="P33" s="14"/>
      <c r="Q33" s="14"/>
      <c r="R33" s="14"/>
      <c r="S33" s="14"/>
      <c r="T33" s="14"/>
      <c r="U33" s="14"/>
      <c r="V33" s="14"/>
      <c r="W33" s="14"/>
      <c r="X33" s="14"/>
      <c r="Y33" s="13"/>
      <c r="Z33" s="44"/>
      <c r="AA33" s="43"/>
      <c r="AB33" s="13"/>
      <c r="AC33" s="13"/>
      <c r="AD33" s="13"/>
      <c r="AE33" s="13"/>
      <c r="AF33" s="13"/>
      <c r="AG33" s="13"/>
      <c r="AH33" s="13"/>
      <c r="AI33" s="13"/>
      <c r="AJ33" s="13"/>
      <c r="AK33" s="44"/>
    </row>
    <row r="34" spans="1:38" ht="12.75" customHeight="1">
      <c r="A34" s="41">
        <v>489</v>
      </c>
      <c r="B34" s="10">
        <v>1279</v>
      </c>
      <c r="C34" s="10" t="s">
        <v>126</v>
      </c>
      <c r="D34" s="16">
        <v>149.06</v>
      </c>
      <c r="E34" s="20" t="s">
        <v>127</v>
      </c>
      <c r="F34" s="20" t="s">
        <v>128</v>
      </c>
      <c r="G34" s="12">
        <v>1</v>
      </c>
      <c r="H34" s="12">
        <v>2</v>
      </c>
      <c r="I34" s="16">
        <f>ROUND(G34,0)</f>
        <v>1</v>
      </c>
      <c r="J34" s="16">
        <f>ROUND(H34,0)</f>
        <v>2</v>
      </c>
      <c r="K34" s="18" t="str">
        <f>IF(I34=J34,"TAM",(CONCATENATE(G34,"/",H34)))</f>
        <v>1/2</v>
      </c>
      <c r="L34" s="29">
        <f>149.06*1/2</f>
        <v>74.53</v>
      </c>
      <c r="M34" s="30">
        <v>0</v>
      </c>
      <c r="N34" s="16" t="str">
        <f>IF(M34=0,"0",(O34*M34))</f>
        <v>0</v>
      </c>
      <c r="O34" s="16">
        <f>IF(W34=1,L34,((D34*G34/H34)-P34)/(1-V34)-S34-T34)</f>
        <v>74.53</v>
      </c>
      <c r="P34" s="16">
        <v>0</v>
      </c>
      <c r="Q34" s="16">
        <f>IF(U34=0,"0",O34*U34)</f>
        <v>24.94909873568057</v>
      </c>
      <c r="R34" s="17">
        <f>IF(U34=0,(((D34*G34/H34)-P34-S34-T34)/(1-V34)),(((D34*G34/H34)-P34-S34-T34)/(1-V34))-((D34*G34/H34)-P34-S34-T34)*U34/(1-V34))</f>
        <v>49.58090126431944</v>
      </c>
      <c r="S34" s="12">
        <v>0</v>
      </c>
      <c r="T34" s="12">
        <v>0</v>
      </c>
      <c r="U34" s="12">
        <v>0.334752431714485</v>
      </c>
      <c r="V34" s="12">
        <v>0</v>
      </c>
      <c r="W34" s="28">
        <f>IF(V34&gt;U34,1,V34)</f>
        <v>0</v>
      </c>
      <c r="X34" s="12">
        <v>1</v>
      </c>
      <c r="Y34" s="16">
        <v>0</v>
      </c>
      <c r="Z34" s="42" t="str">
        <f>IF(OR(W34=1,W34=0),"0",(Q34-N34))</f>
        <v>0</v>
      </c>
      <c r="AA34" s="53" t="s">
        <v>129</v>
      </c>
      <c r="AB34" s="16" t="s">
        <v>131</v>
      </c>
      <c r="AC34" s="16">
        <v>49.58</v>
      </c>
      <c r="AD34" s="16">
        <v>473.32</v>
      </c>
      <c r="AE34" s="16">
        <f>ROUND(AC34*100,0)</f>
        <v>4958</v>
      </c>
      <c r="AF34" s="16">
        <f>ROUND(AD34*100,0)</f>
        <v>47332</v>
      </c>
      <c r="AG34" s="19" t="str">
        <f>IF(AC34=AD34,"TAM",(CONCATENATE(AE34,"/",AF34)))</f>
        <v>4958/47332</v>
      </c>
      <c r="AH34" s="11" t="s">
        <v>50</v>
      </c>
      <c r="AI34" s="21" t="s">
        <v>50</v>
      </c>
      <c r="AJ34" s="21" t="s">
        <v>130</v>
      </c>
      <c r="AK34" s="54" t="s">
        <v>50</v>
      </c>
      <c r="AL34" s="1" t="s">
        <v>50</v>
      </c>
    </row>
    <row r="35" spans="1:37" ht="12.75" customHeight="1">
      <c r="A35" s="43"/>
      <c r="B35" s="13"/>
      <c r="C35" s="13"/>
      <c r="D35" s="31"/>
      <c r="E35" s="14" t="s">
        <v>50</v>
      </c>
      <c r="F35" s="14"/>
      <c r="G35" s="14"/>
      <c r="H35" s="14"/>
      <c r="I35" s="31"/>
      <c r="J35" s="31"/>
      <c r="K35" s="15"/>
      <c r="L35" s="15"/>
      <c r="M35" s="15"/>
      <c r="N35" s="15"/>
      <c r="O35" s="15"/>
      <c r="P35" s="14"/>
      <c r="Q35" s="14"/>
      <c r="R35" s="14"/>
      <c r="S35" s="14"/>
      <c r="T35" s="14"/>
      <c r="U35" s="14"/>
      <c r="V35" s="14"/>
      <c r="W35" s="14"/>
      <c r="X35" s="14"/>
      <c r="Y35" s="13"/>
      <c r="Z35" s="44"/>
      <c r="AA35" s="43"/>
      <c r="AB35" s="13"/>
      <c r="AC35" s="13"/>
      <c r="AD35" s="13"/>
      <c r="AE35" s="13"/>
      <c r="AF35" s="13"/>
      <c r="AG35" s="13"/>
      <c r="AH35" s="13"/>
      <c r="AI35" s="13"/>
      <c r="AJ35" s="13"/>
      <c r="AK35" s="44"/>
    </row>
    <row r="36" spans="1:38" ht="12.75" customHeight="1">
      <c r="A36" s="41">
        <v>496</v>
      </c>
      <c r="B36" s="10">
        <v>1280</v>
      </c>
      <c r="C36" s="10" t="s">
        <v>132</v>
      </c>
      <c r="D36" s="16">
        <v>927.17</v>
      </c>
      <c r="E36" s="20" t="s">
        <v>133</v>
      </c>
      <c r="F36" s="20" t="s">
        <v>134</v>
      </c>
      <c r="G36" s="12">
        <v>1</v>
      </c>
      <c r="H36" s="12">
        <v>9</v>
      </c>
      <c r="I36" s="16">
        <f>ROUND(G36,0)</f>
        <v>1</v>
      </c>
      <c r="J36" s="16">
        <f>ROUND(H36,0)</f>
        <v>9</v>
      </c>
      <c r="K36" s="18" t="str">
        <f>IF(I36=J36,"TAM",(CONCATENATE(G36,"/",H36)))</f>
        <v>1/9</v>
      </c>
      <c r="L36" s="29">
        <f>927.17*1/9</f>
        <v>103.01888888888888</v>
      </c>
      <c r="M36" s="30">
        <v>0</v>
      </c>
      <c r="N36" s="16" t="str">
        <f>IF(M36=0,"0",(O36*M36))</f>
        <v>0</v>
      </c>
      <c r="O36" s="16">
        <f>IF(W36=1,L36,((D36*G36/H36)-P36)/(1-V36)-S36-T36)</f>
        <v>103.01888888888888</v>
      </c>
      <c r="P36" s="16">
        <v>0</v>
      </c>
      <c r="Q36" s="16">
        <f>IF(U36=0,"0",O36*U36)</f>
        <v>34.485823568079894</v>
      </c>
      <c r="R36" s="17">
        <f>IF(U36=0,(((D36*G36/H36)-P36-S36-T36)/(1-V36)),(((D36*G36/H36)-P36-S36-T36)/(1-V36))-((D36*G36/H36)-P36-S36-T36)*U36/(1-V36))</f>
        <v>68.53306532080899</v>
      </c>
      <c r="S36" s="12">
        <v>0</v>
      </c>
      <c r="T36" s="12">
        <v>0</v>
      </c>
      <c r="U36" s="12">
        <v>0.334752431714485</v>
      </c>
      <c r="V36" s="12">
        <v>0</v>
      </c>
      <c r="W36" s="28">
        <f>IF(V36&gt;U36,1,V36)</f>
        <v>0</v>
      </c>
      <c r="X36" s="12">
        <v>1</v>
      </c>
      <c r="Y36" s="16">
        <v>0</v>
      </c>
      <c r="Z36" s="42" t="str">
        <f>IF(OR(W36=1,W36=0),"0",(Q36-N36))</f>
        <v>0</v>
      </c>
      <c r="AA36" s="53" t="s">
        <v>135</v>
      </c>
      <c r="AB36" s="16" t="s">
        <v>137</v>
      </c>
      <c r="AC36" s="16">
        <v>68.53</v>
      </c>
      <c r="AD36" s="16">
        <v>616.8</v>
      </c>
      <c r="AE36" s="16">
        <f>ROUND(AC36*100,0)</f>
        <v>6853</v>
      </c>
      <c r="AF36" s="16">
        <f>ROUND(AD36*100,0)</f>
        <v>61680</v>
      </c>
      <c r="AG36" s="19" t="str">
        <f>IF(AC36=AD36,"TAM",(CONCATENATE(AE36,"/",AF36)))</f>
        <v>6853/61680</v>
      </c>
      <c r="AH36" s="11" t="s">
        <v>50</v>
      </c>
      <c r="AI36" s="21" t="s">
        <v>50</v>
      </c>
      <c r="AJ36" s="21" t="s">
        <v>136</v>
      </c>
      <c r="AK36" s="54" t="s">
        <v>50</v>
      </c>
      <c r="AL36" s="1" t="s">
        <v>50</v>
      </c>
    </row>
    <row r="37" spans="1:37" ht="12.75" customHeight="1">
      <c r="A37" s="43"/>
      <c r="B37" s="13"/>
      <c r="C37" s="13"/>
      <c r="D37" s="31"/>
      <c r="E37" s="14" t="s">
        <v>50</v>
      </c>
      <c r="F37" s="14"/>
      <c r="G37" s="14"/>
      <c r="H37" s="14"/>
      <c r="I37" s="31"/>
      <c r="J37" s="31"/>
      <c r="K37" s="15"/>
      <c r="L37" s="15"/>
      <c r="M37" s="15"/>
      <c r="N37" s="15"/>
      <c r="O37" s="15"/>
      <c r="P37" s="14"/>
      <c r="Q37" s="14"/>
      <c r="R37" s="14"/>
      <c r="S37" s="14"/>
      <c r="T37" s="14"/>
      <c r="U37" s="14"/>
      <c r="V37" s="14"/>
      <c r="W37" s="14"/>
      <c r="X37" s="14"/>
      <c r="Y37" s="13"/>
      <c r="Z37" s="44"/>
      <c r="AA37" s="43"/>
      <c r="AB37" s="13"/>
      <c r="AC37" s="13"/>
      <c r="AD37" s="13"/>
      <c r="AE37" s="13"/>
      <c r="AF37" s="13"/>
      <c r="AG37" s="13"/>
      <c r="AH37" s="13"/>
      <c r="AI37" s="13"/>
      <c r="AJ37" s="13"/>
      <c r="AK37" s="44"/>
    </row>
    <row r="38" spans="1:38" ht="12.75" customHeight="1">
      <c r="A38" s="41">
        <v>492</v>
      </c>
      <c r="B38" s="10">
        <v>1280</v>
      </c>
      <c r="C38" s="10" t="s">
        <v>138</v>
      </c>
      <c r="D38" s="16">
        <v>927.17</v>
      </c>
      <c r="E38" s="20" t="s">
        <v>139</v>
      </c>
      <c r="F38" s="20" t="s">
        <v>140</v>
      </c>
      <c r="G38" s="12">
        <v>3</v>
      </c>
      <c r="H38" s="12">
        <v>48</v>
      </c>
      <c r="I38" s="16">
        <f>ROUND(G38,0)</f>
        <v>3</v>
      </c>
      <c r="J38" s="16">
        <f>ROUND(H38,0)</f>
        <v>48</v>
      </c>
      <c r="K38" s="18" t="str">
        <f>IF(I38=J38,"TAM",(CONCATENATE(G38,"/",H38)))</f>
        <v>3/48</v>
      </c>
      <c r="L38" s="29">
        <f>927.17*3/48</f>
        <v>57.948125</v>
      </c>
      <c r="M38" s="30">
        <v>0</v>
      </c>
      <c r="N38" s="16" t="str">
        <f>IF(M38=0,"0",(O38*M38))</f>
        <v>0</v>
      </c>
      <c r="O38" s="16">
        <f>IF(W38=1,L38,((D38*G38/H38)-P38)/(1-V38)-S38-T38)</f>
        <v>57.948125</v>
      </c>
      <c r="P38" s="16">
        <v>0</v>
      </c>
      <c r="Q38" s="16">
        <f>IF(U38=0,"0",O38*U38)</f>
        <v>19.39827575704494</v>
      </c>
      <c r="R38" s="17">
        <f>IF(U38=0,(((D38*G38/H38)-P38-S38-T38)/(1-V38)),(((D38*G38/H38)-P38-S38-T38)/(1-V38))-((D38*G38/H38)-P38-S38-T38)*U38/(1-V38))</f>
        <v>38.54984924295506</v>
      </c>
      <c r="S38" s="12">
        <v>0</v>
      </c>
      <c r="T38" s="12">
        <v>0</v>
      </c>
      <c r="U38" s="12">
        <v>0.334752431714485</v>
      </c>
      <c r="V38" s="12">
        <v>0</v>
      </c>
      <c r="W38" s="28">
        <f>IF(V38&gt;U38,1,V38)</f>
        <v>0</v>
      </c>
      <c r="X38" s="12">
        <v>1</v>
      </c>
      <c r="Y38" s="16">
        <v>0</v>
      </c>
      <c r="Z38" s="42" t="str">
        <f>IF(OR(W38=1,W38=0),"0",(Q38-N38))</f>
        <v>0</v>
      </c>
      <c r="AA38" s="53" t="s">
        <v>141</v>
      </c>
      <c r="AB38" s="16" t="s">
        <v>143</v>
      </c>
      <c r="AC38" s="16">
        <v>38.56</v>
      </c>
      <c r="AD38" s="16">
        <v>616.8</v>
      </c>
      <c r="AE38" s="16">
        <f>ROUND(AC38*100,0)</f>
        <v>3856</v>
      </c>
      <c r="AF38" s="16">
        <f>ROUND(AD38*100,0)</f>
        <v>61680</v>
      </c>
      <c r="AG38" s="19" t="str">
        <f>IF(AC38=AD38,"TAM",(CONCATENATE(AE38,"/",AF38)))</f>
        <v>3856/61680</v>
      </c>
      <c r="AH38" s="11" t="s">
        <v>50</v>
      </c>
      <c r="AI38" s="21" t="s">
        <v>50</v>
      </c>
      <c r="AJ38" s="21" t="s">
        <v>142</v>
      </c>
      <c r="AK38" s="54" t="s">
        <v>50</v>
      </c>
      <c r="AL38" s="1" t="s">
        <v>50</v>
      </c>
    </row>
    <row r="39" spans="1:37" ht="12.75" customHeight="1">
      <c r="A39" s="43"/>
      <c r="B39" s="13"/>
      <c r="C39" s="13"/>
      <c r="D39" s="31"/>
      <c r="E39" s="14" t="s">
        <v>50</v>
      </c>
      <c r="F39" s="14"/>
      <c r="G39" s="14"/>
      <c r="H39" s="14"/>
      <c r="I39" s="31"/>
      <c r="J39" s="31"/>
      <c r="K39" s="15"/>
      <c r="L39" s="15"/>
      <c r="M39" s="15"/>
      <c r="N39" s="15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3"/>
      <c r="Z39" s="44"/>
      <c r="AA39" s="43"/>
      <c r="AB39" s="13"/>
      <c r="AC39" s="13"/>
      <c r="AD39" s="13"/>
      <c r="AE39" s="13"/>
      <c r="AF39" s="13"/>
      <c r="AG39" s="13"/>
      <c r="AH39" s="13"/>
      <c r="AI39" s="13"/>
      <c r="AJ39" s="13"/>
      <c r="AK39" s="44"/>
    </row>
    <row r="40" spans="1:38" ht="12.75" customHeight="1">
      <c r="A40" s="41">
        <v>491</v>
      </c>
      <c r="B40" s="10">
        <v>1280</v>
      </c>
      <c r="C40" s="10" t="s">
        <v>144</v>
      </c>
      <c r="D40" s="16">
        <v>927.17</v>
      </c>
      <c r="E40" s="20" t="s">
        <v>145</v>
      </c>
      <c r="F40" s="20" t="s">
        <v>146</v>
      </c>
      <c r="G40" s="12">
        <v>3</v>
      </c>
      <c r="H40" s="12">
        <v>48</v>
      </c>
      <c r="I40" s="16">
        <f>ROUND(G40,0)</f>
        <v>3</v>
      </c>
      <c r="J40" s="16">
        <f>ROUND(H40,0)</f>
        <v>48</v>
      </c>
      <c r="K40" s="18" t="str">
        <f>IF(I40=J40,"TAM",(CONCATENATE(G40,"/",H40)))</f>
        <v>3/48</v>
      </c>
      <c r="L40" s="29">
        <f>927.17*3/48</f>
        <v>57.948125</v>
      </c>
      <c r="M40" s="30">
        <v>0</v>
      </c>
      <c r="N40" s="16" t="str">
        <f>IF(M40=0,"0",(O40*M40))</f>
        <v>0</v>
      </c>
      <c r="O40" s="16">
        <f>IF(W40=1,L40,((D40*G40/H40)-P40)/(1-V40)-S40-T40)</f>
        <v>57.948125</v>
      </c>
      <c r="P40" s="16">
        <v>0</v>
      </c>
      <c r="Q40" s="16">
        <f>IF(U40=0,"0",O40*U40)</f>
        <v>19.39827575704494</v>
      </c>
      <c r="R40" s="17">
        <f>IF(U40=0,(((D40*G40/H40)-P40-S40-T40)/(1-V40)),(((D40*G40/H40)-P40-S40-T40)/(1-V40))-((D40*G40/H40)-P40-S40-T40)*U40/(1-V40))</f>
        <v>38.54984924295506</v>
      </c>
      <c r="S40" s="12">
        <v>0</v>
      </c>
      <c r="T40" s="12">
        <v>0</v>
      </c>
      <c r="U40" s="12">
        <v>0.334752431714485</v>
      </c>
      <c r="V40" s="12">
        <v>0</v>
      </c>
      <c r="W40" s="28">
        <f>IF(V40&gt;U40,1,V40)</f>
        <v>0</v>
      </c>
      <c r="X40" s="12">
        <v>1</v>
      </c>
      <c r="Y40" s="16">
        <v>0</v>
      </c>
      <c r="Z40" s="42" t="str">
        <f>IF(OR(W40=1,W40=0),"0",(Q40-N40))</f>
        <v>0</v>
      </c>
      <c r="AA40" s="53" t="s">
        <v>147</v>
      </c>
      <c r="AB40" s="16" t="s">
        <v>149</v>
      </c>
      <c r="AC40" s="16">
        <v>38.56</v>
      </c>
      <c r="AD40" s="16">
        <v>616.8</v>
      </c>
      <c r="AE40" s="16">
        <f>ROUND(AC40*100,0)</f>
        <v>3856</v>
      </c>
      <c r="AF40" s="16">
        <f>ROUND(AD40*100,0)</f>
        <v>61680</v>
      </c>
      <c r="AG40" s="19" t="str">
        <f>IF(AC40=AD40,"TAM",(CONCATENATE(AE40,"/",AF40)))</f>
        <v>3856/61680</v>
      </c>
      <c r="AH40" s="11" t="s">
        <v>50</v>
      </c>
      <c r="AI40" s="21" t="s">
        <v>50</v>
      </c>
      <c r="AJ40" s="21" t="s">
        <v>148</v>
      </c>
      <c r="AK40" s="54" t="s">
        <v>50</v>
      </c>
      <c r="AL40" s="1" t="s">
        <v>50</v>
      </c>
    </row>
    <row r="41" spans="1:37" ht="12.75" customHeight="1">
      <c r="A41" s="43"/>
      <c r="B41" s="13"/>
      <c r="C41" s="13"/>
      <c r="D41" s="31"/>
      <c r="E41" s="14" t="s">
        <v>50</v>
      </c>
      <c r="F41" s="14"/>
      <c r="G41" s="14"/>
      <c r="H41" s="14"/>
      <c r="I41" s="31"/>
      <c r="J41" s="31"/>
      <c r="K41" s="15"/>
      <c r="L41" s="15"/>
      <c r="M41" s="15"/>
      <c r="N41" s="15"/>
      <c r="O41" s="15"/>
      <c r="P41" s="14"/>
      <c r="Q41" s="14"/>
      <c r="R41" s="14"/>
      <c r="S41" s="14"/>
      <c r="T41" s="14"/>
      <c r="U41" s="14"/>
      <c r="V41" s="14"/>
      <c r="W41" s="14"/>
      <c r="X41" s="14"/>
      <c r="Y41" s="13"/>
      <c r="Z41" s="44"/>
      <c r="AA41" s="43"/>
      <c r="AB41" s="13"/>
      <c r="AC41" s="13"/>
      <c r="AD41" s="13"/>
      <c r="AE41" s="13"/>
      <c r="AF41" s="13"/>
      <c r="AG41" s="13"/>
      <c r="AH41" s="13"/>
      <c r="AI41" s="13"/>
      <c r="AJ41" s="13"/>
      <c r="AK41" s="44"/>
    </row>
    <row r="42" spans="1:38" ht="12.75" customHeight="1">
      <c r="A42" s="41">
        <v>494</v>
      </c>
      <c r="B42" s="10">
        <v>1280</v>
      </c>
      <c r="C42" s="10" t="s">
        <v>150</v>
      </c>
      <c r="D42" s="16">
        <v>927.17</v>
      </c>
      <c r="E42" s="20" t="s">
        <v>151</v>
      </c>
      <c r="F42" s="20" t="s">
        <v>152</v>
      </c>
      <c r="G42" s="12">
        <v>16</v>
      </c>
      <c r="H42" s="12">
        <v>48</v>
      </c>
      <c r="I42" s="16">
        <f>ROUND(G42,0)</f>
        <v>16</v>
      </c>
      <c r="J42" s="16">
        <f>ROUND(H42,0)</f>
        <v>48</v>
      </c>
      <c r="K42" s="18" t="str">
        <f>IF(I42=J42,"TAM",(CONCATENATE(G42,"/",H42)))</f>
        <v>16/48</v>
      </c>
      <c r="L42" s="29">
        <f>927.17*16/48</f>
        <v>309.0566666666666</v>
      </c>
      <c r="M42" s="30">
        <v>0</v>
      </c>
      <c r="N42" s="16" t="str">
        <f>IF(M42=0,"0",(O42*M42))</f>
        <v>0</v>
      </c>
      <c r="O42" s="16">
        <f>IF(W42=1,L42,((D42*G42/H42)-P42)/(1-V42)-S42-T42)</f>
        <v>309.0566666666667</v>
      </c>
      <c r="P42" s="16">
        <v>0</v>
      </c>
      <c r="Q42" s="16">
        <f>IF(U42=0,"0",O42*U42)</f>
        <v>103.45747070423968</v>
      </c>
      <c r="R42" s="17">
        <f>IF(U42=0,(((D42*G42/H42)-P42-S42-T42)/(1-V42)),(((D42*G42/H42)-P42-S42-T42)/(1-V42))-((D42*G42/H42)-P42-S42-T42)*U42/(1-V42))</f>
        <v>205.599195962427</v>
      </c>
      <c r="S42" s="12">
        <v>0</v>
      </c>
      <c r="T42" s="12">
        <v>0</v>
      </c>
      <c r="U42" s="12">
        <v>0.334752431714485</v>
      </c>
      <c r="V42" s="12">
        <v>0</v>
      </c>
      <c r="W42" s="28">
        <f>IF(V42&gt;U42,1,V42)</f>
        <v>0</v>
      </c>
      <c r="X42" s="12">
        <v>1</v>
      </c>
      <c r="Y42" s="16">
        <v>0</v>
      </c>
      <c r="Z42" s="42" t="str">
        <f>IF(OR(W42=1,W42=0),"0",(Q42-N42))</f>
        <v>0</v>
      </c>
      <c r="AA42" s="53" t="s">
        <v>153</v>
      </c>
      <c r="AB42" s="16" t="s">
        <v>155</v>
      </c>
      <c r="AC42" s="16">
        <v>205.6</v>
      </c>
      <c r="AD42" s="16">
        <v>616.8</v>
      </c>
      <c r="AE42" s="16">
        <f>ROUND(AC42*100,0)</f>
        <v>20560</v>
      </c>
      <c r="AF42" s="16">
        <f>ROUND(AD42*100,0)</f>
        <v>61680</v>
      </c>
      <c r="AG42" s="19" t="str">
        <f>IF(AC42=AD42,"TAM",(CONCATENATE(AE42,"/",AF42)))</f>
        <v>20560/61680</v>
      </c>
      <c r="AH42" s="11" t="s">
        <v>50</v>
      </c>
      <c r="AI42" s="21" t="s">
        <v>50</v>
      </c>
      <c r="AJ42" s="21" t="s">
        <v>154</v>
      </c>
      <c r="AK42" s="54" t="s">
        <v>50</v>
      </c>
      <c r="AL42" s="1" t="s">
        <v>50</v>
      </c>
    </row>
    <row r="43" spans="1:37" ht="12.75" customHeight="1">
      <c r="A43" s="43"/>
      <c r="B43" s="13"/>
      <c r="C43" s="13"/>
      <c r="D43" s="31"/>
      <c r="E43" s="14" t="s">
        <v>50</v>
      </c>
      <c r="F43" s="14"/>
      <c r="G43" s="14"/>
      <c r="H43" s="14"/>
      <c r="I43" s="31"/>
      <c r="J43" s="31"/>
      <c r="K43" s="15"/>
      <c r="L43" s="15"/>
      <c r="M43" s="15"/>
      <c r="N43" s="15"/>
      <c r="O43" s="15"/>
      <c r="P43" s="14"/>
      <c r="Q43" s="14"/>
      <c r="R43" s="14"/>
      <c r="S43" s="14"/>
      <c r="T43" s="14"/>
      <c r="U43" s="14"/>
      <c r="V43" s="14"/>
      <c r="W43" s="14"/>
      <c r="X43" s="14"/>
      <c r="Y43" s="13"/>
      <c r="Z43" s="44"/>
      <c r="AA43" s="43"/>
      <c r="AB43" s="13"/>
      <c r="AC43" s="13"/>
      <c r="AD43" s="13"/>
      <c r="AE43" s="13"/>
      <c r="AF43" s="13"/>
      <c r="AG43" s="13"/>
      <c r="AH43" s="13"/>
      <c r="AI43" s="13"/>
      <c r="AJ43" s="13"/>
      <c r="AK43" s="44"/>
    </row>
    <row r="44" spans="1:38" ht="12.75" customHeight="1">
      <c r="A44" s="41">
        <v>497</v>
      </c>
      <c r="B44" s="10">
        <v>1280</v>
      </c>
      <c r="C44" s="10" t="s">
        <v>156</v>
      </c>
      <c r="D44" s="16">
        <v>927.17</v>
      </c>
      <c r="E44" s="20" t="s">
        <v>157</v>
      </c>
      <c r="F44" s="20" t="s">
        <v>158</v>
      </c>
      <c r="G44" s="12">
        <v>1</v>
      </c>
      <c r="H44" s="12">
        <v>9</v>
      </c>
      <c r="I44" s="16">
        <f>ROUND(G44,0)</f>
        <v>1</v>
      </c>
      <c r="J44" s="16">
        <f>ROUND(H44,0)</f>
        <v>9</v>
      </c>
      <c r="K44" s="18" t="str">
        <f>IF(I44=J44,"TAM",(CONCATENATE(G44,"/",H44)))</f>
        <v>1/9</v>
      </c>
      <c r="L44" s="29">
        <f>927.17*1/9</f>
        <v>103.01888888888888</v>
      </c>
      <c r="M44" s="30">
        <v>0</v>
      </c>
      <c r="N44" s="16" t="str">
        <f>IF(M44=0,"0",(O44*M44))</f>
        <v>0</v>
      </c>
      <c r="O44" s="16">
        <f>IF(W44=1,L44,((D44*G44/H44)-P44)/(1-V44)-S44-T44)</f>
        <v>103.01888888888888</v>
      </c>
      <c r="P44" s="16">
        <v>0</v>
      </c>
      <c r="Q44" s="16">
        <f>IF(U44=0,"0",O44*U44)</f>
        <v>34.485823568079894</v>
      </c>
      <c r="R44" s="17">
        <f>IF(U44=0,(((D44*G44/H44)-P44-S44-T44)/(1-V44)),(((D44*G44/H44)-P44-S44-T44)/(1-V44))-((D44*G44/H44)-P44-S44-T44)*U44/(1-V44))</f>
        <v>68.53306532080899</v>
      </c>
      <c r="S44" s="12">
        <v>0</v>
      </c>
      <c r="T44" s="12">
        <v>0</v>
      </c>
      <c r="U44" s="12">
        <v>0.334752431714485</v>
      </c>
      <c r="V44" s="12">
        <v>0</v>
      </c>
      <c r="W44" s="28">
        <f>IF(V44&gt;U44,1,V44)</f>
        <v>0</v>
      </c>
      <c r="X44" s="12">
        <v>1</v>
      </c>
      <c r="Y44" s="16">
        <v>0</v>
      </c>
      <c r="Z44" s="42" t="str">
        <f>IF(OR(W44=1,W44=0),"0",(Q44-N44))</f>
        <v>0</v>
      </c>
      <c r="AA44" s="53" t="s">
        <v>159</v>
      </c>
      <c r="AB44" s="16" t="s">
        <v>161</v>
      </c>
      <c r="AC44" s="16">
        <v>68.53</v>
      </c>
      <c r="AD44" s="16">
        <v>616.8</v>
      </c>
      <c r="AE44" s="16">
        <f>ROUND(AC44*100,0)</f>
        <v>6853</v>
      </c>
      <c r="AF44" s="16">
        <f>ROUND(AD44*100,0)</f>
        <v>61680</v>
      </c>
      <c r="AG44" s="19" t="str">
        <f>IF(AC44=AD44,"TAM",(CONCATENATE(AE44,"/",AF44)))</f>
        <v>6853/61680</v>
      </c>
      <c r="AH44" s="11" t="s">
        <v>50</v>
      </c>
      <c r="AI44" s="21" t="s">
        <v>50</v>
      </c>
      <c r="AJ44" s="21" t="s">
        <v>160</v>
      </c>
      <c r="AK44" s="54" t="s">
        <v>50</v>
      </c>
      <c r="AL44" s="1" t="s">
        <v>50</v>
      </c>
    </row>
    <row r="45" spans="1:37" ht="12.75" customHeight="1">
      <c r="A45" s="43"/>
      <c r="B45" s="13"/>
      <c r="C45" s="13"/>
      <c r="D45" s="31"/>
      <c r="E45" s="14" t="s">
        <v>50</v>
      </c>
      <c r="F45" s="14"/>
      <c r="G45" s="14"/>
      <c r="H45" s="14"/>
      <c r="I45" s="31"/>
      <c r="J45" s="31"/>
      <c r="K45" s="15"/>
      <c r="L45" s="15"/>
      <c r="M45" s="15"/>
      <c r="N45" s="15"/>
      <c r="O45" s="15"/>
      <c r="P45" s="14"/>
      <c r="Q45" s="14"/>
      <c r="R45" s="14"/>
      <c r="S45" s="14"/>
      <c r="T45" s="14"/>
      <c r="U45" s="14"/>
      <c r="V45" s="14"/>
      <c r="W45" s="14"/>
      <c r="X45" s="14"/>
      <c r="Y45" s="13"/>
      <c r="Z45" s="44"/>
      <c r="AA45" s="43"/>
      <c r="AB45" s="13"/>
      <c r="AC45" s="13"/>
      <c r="AD45" s="13"/>
      <c r="AE45" s="13"/>
      <c r="AF45" s="13"/>
      <c r="AG45" s="13"/>
      <c r="AH45" s="13"/>
      <c r="AI45" s="13"/>
      <c r="AJ45" s="13"/>
      <c r="AK45" s="44"/>
    </row>
    <row r="46" spans="1:38" ht="12.75" customHeight="1">
      <c r="A46" s="41">
        <v>495</v>
      </c>
      <c r="B46" s="10">
        <v>1280</v>
      </c>
      <c r="C46" s="10" t="s">
        <v>162</v>
      </c>
      <c r="D46" s="16">
        <v>927.17</v>
      </c>
      <c r="E46" s="20" t="s">
        <v>163</v>
      </c>
      <c r="F46" s="20" t="s">
        <v>164</v>
      </c>
      <c r="G46" s="12">
        <v>1</v>
      </c>
      <c r="H46" s="12">
        <v>9</v>
      </c>
      <c r="I46" s="16">
        <f>ROUND(G46,0)</f>
        <v>1</v>
      </c>
      <c r="J46" s="16">
        <f>ROUND(H46,0)</f>
        <v>9</v>
      </c>
      <c r="K46" s="18" t="str">
        <f>IF(I46=J46,"TAM",(CONCATENATE(G46,"/",H46)))</f>
        <v>1/9</v>
      </c>
      <c r="L46" s="29">
        <f>927.17*1/9</f>
        <v>103.01888888888888</v>
      </c>
      <c r="M46" s="30">
        <v>0</v>
      </c>
      <c r="N46" s="16" t="str">
        <f>IF(M46=0,"0",(O46*M46))</f>
        <v>0</v>
      </c>
      <c r="O46" s="16">
        <f>IF(W46=1,L46,((D46*G46/H46)-P46)/(1-V46)-S46-T46)</f>
        <v>103.01888888888888</v>
      </c>
      <c r="P46" s="16">
        <v>0</v>
      </c>
      <c r="Q46" s="16">
        <f>IF(U46=0,"0",O46*U46)</f>
        <v>34.485823568079894</v>
      </c>
      <c r="R46" s="17">
        <f>IF(U46=0,(((D46*G46/H46)-P46-S46-T46)/(1-V46)),(((D46*G46/H46)-P46-S46-T46)/(1-V46))-((D46*G46/H46)-P46-S46-T46)*U46/(1-V46))</f>
        <v>68.53306532080899</v>
      </c>
      <c r="S46" s="12">
        <v>0</v>
      </c>
      <c r="T46" s="12">
        <v>0</v>
      </c>
      <c r="U46" s="12">
        <v>0.334752431714485</v>
      </c>
      <c r="V46" s="12">
        <v>0</v>
      </c>
      <c r="W46" s="28">
        <f>IF(V46&gt;U46,1,V46)</f>
        <v>0</v>
      </c>
      <c r="X46" s="12">
        <v>1</v>
      </c>
      <c r="Y46" s="16">
        <v>0</v>
      </c>
      <c r="Z46" s="42" t="str">
        <f>IF(OR(W46=1,W46=0),"0",(Q46-N46))</f>
        <v>0</v>
      </c>
      <c r="AA46" s="53" t="s">
        <v>165</v>
      </c>
      <c r="AB46" s="16" t="s">
        <v>167</v>
      </c>
      <c r="AC46" s="16">
        <v>68.53</v>
      </c>
      <c r="AD46" s="16">
        <v>616.8</v>
      </c>
      <c r="AE46" s="16">
        <f>ROUND(AC46*100,0)</f>
        <v>6853</v>
      </c>
      <c r="AF46" s="16">
        <f>ROUND(AD46*100,0)</f>
        <v>61680</v>
      </c>
      <c r="AG46" s="19" t="str">
        <f>IF(AC46=AD46,"TAM",(CONCATENATE(AE46,"/",AF46)))</f>
        <v>6853/61680</v>
      </c>
      <c r="AH46" s="11" t="s">
        <v>50</v>
      </c>
      <c r="AI46" s="21" t="s">
        <v>50</v>
      </c>
      <c r="AJ46" s="21" t="s">
        <v>166</v>
      </c>
      <c r="AK46" s="54" t="s">
        <v>50</v>
      </c>
      <c r="AL46" s="1" t="s">
        <v>50</v>
      </c>
    </row>
    <row r="47" spans="1:37" ht="12.75" customHeight="1">
      <c r="A47" s="43"/>
      <c r="B47" s="13"/>
      <c r="C47" s="13"/>
      <c r="D47" s="31"/>
      <c r="E47" s="14" t="s">
        <v>50</v>
      </c>
      <c r="F47" s="14"/>
      <c r="G47" s="14"/>
      <c r="H47" s="14"/>
      <c r="I47" s="31"/>
      <c r="J47" s="31"/>
      <c r="K47" s="15"/>
      <c r="L47" s="15"/>
      <c r="M47" s="15"/>
      <c r="N47" s="15"/>
      <c r="O47" s="15"/>
      <c r="P47" s="14"/>
      <c r="Q47" s="14"/>
      <c r="R47" s="14"/>
      <c r="S47" s="14"/>
      <c r="T47" s="14"/>
      <c r="U47" s="14"/>
      <c r="V47" s="14"/>
      <c r="W47" s="14"/>
      <c r="X47" s="14"/>
      <c r="Y47" s="13"/>
      <c r="Z47" s="44"/>
      <c r="AA47" s="43"/>
      <c r="AB47" s="13"/>
      <c r="AC47" s="13"/>
      <c r="AD47" s="13"/>
      <c r="AE47" s="13"/>
      <c r="AF47" s="13"/>
      <c r="AG47" s="13"/>
      <c r="AH47" s="13"/>
      <c r="AI47" s="13"/>
      <c r="AJ47" s="13"/>
      <c r="AK47" s="44"/>
    </row>
    <row r="48" spans="1:38" ht="12.75" customHeight="1">
      <c r="A48" s="41">
        <v>490</v>
      </c>
      <c r="B48" s="10">
        <v>1280</v>
      </c>
      <c r="C48" s="10" t="s">
        <v>168</v>
      </c>
      <c r="D48" s="16">
        <v>927.17</v>
      </c>
      <c r="E48" s="20" t="s">
        <v>169</v>
      </c>
      <c r="F48" s="20" t="s">
        <v>170</v>
      </c>
      <c r="G48" s="12">
        <v>3</v>
      </c>
      <c r="H48" s="12">
        <v>48</v>
      </c>
      <c r="I48" s="16">
        <f>ROUND(G48,0)</f>
        <v>3</v>
      </c>
      <c r="J48" s="16">
        <f>ROUND(H48,0)</f>
        <v>48</v>
      </c>
      <c r="K48" s="18" t="str">
        <f>IF(I48=J48,"TAM",(CONCATENATE(G48,"/",H48)))</f>
        <v>3/48</v>
      </c>
      <c r="L48" s="29">
        <f>927.17*3/48</f>
        <v>57.948125</v>
      </c>
      <c r="M48" s="30">
        <v>0</v>
      </c>
      <c r="N48" s="16" t="str">
        <f>IF(M48=0,"0",(O48*M48))</f>
        <v>0</v>
      </c>
      <c r="O48" s="16">
        <f>IF(W48=1,L48,((D48*G48/H48)-P48)/(1-V48)-S48-T48)</f>
        <v>57.948125</v>
      </c>
      <c r="P48" s="16">
        <v>0</v>
      </c>
      <c r="Q48" s="16">
        <f>IF(U48=0,"0",O48*U48)</f>
        <v>19.39827575704494</v>
      </c>
      <c r="R48" s="17">
        <f>IF(U48=0,(((D48*G48/H48)-P48-S48-T48)/(1-V48)),(((D48*G48/H48)-P48-S48-T48)/(1-V48))-((D48*G48/H48)-P48-S48-T48)*U48/(1-V48))</f>
        <v>38.54984924295506</v>
      </c>
      <c r="S48" s="12">
        <v>0</v>
      </c>
      <c r="T48" s="12">
        <v>0</v>
      </c>
      <c r="U48" s="12">
        <v>0.334752431714485</v>
      </c>
      <c r="V48" s="12">
        <v>0</v>
      </c>
      <c r="W48" s="28">
        <f>IF(V48&gt;U48,1,V48)</f>
        <v>0</v>
      </c>
      <c r="X48" s="12">
        <v>1</v>
      </c>
      <c r="Y48" s="16">
        <v>0</v>
      </c>
      <c r="Z48" s="42" t="str">
        <f>IF(OR(W48=1,W48=0),"0",(Q48-N48))</f>
        <v>0</v>
      </c>
      <c r="AA48" s="53" t="s">
        <v>171</v>
      </c>
      <c r="AB48" s="16" t="s">
        <v>173</v>
      </c>
      <c r="AC48" s="16">
        <v>38.55</v>
      </c>
      <c r="AD48" s="16">
        <v>616.8</v>
      </c>
      <c r="AE48" s="16">
        <f>ROUND(AC48*100,0)</f>
        <v>3855</v>
      </c>
      <c r="AF48" s="16">
        <f>ROUND(AD48*100,0)</f>
        <v>61680</v>
      </c>
      <c r="AG48" s="19" t="str">
        <f>IF(AC48=AD48,"TAM",(CONCATENATE(AE48,"/",AF48)))</f>
        <v>3855/61680</v>
      </c>
      <c r="AH48" s="11" t="s">
        <v>50</v>
      </c>
      <c r="AI48" s="21" t="s">
        <v>50</v>
      </c>
      <c r="AJ48" s="21" t="s">
        <v>172</v>
      </c>
      <c r="AK48" s="54" t="s">
        <v>50</v>
      </c>
      <c r="AL48" s="1" t="s">
        <v>50</v>
      </c>
    </row>
    <row r="49" spans="1:37" ht="12.75" customHeight="1">
      <c r="A49" s="43"/>
      <c r="B49" s="13"/>
      <c r="C49" s="13"/>
      <c r="D49" s="31"/>
      <c r="E49" s="14" t="s">
        <v>50</v>
      </c>
      <c r="F49" s="14"/>
      <c r="G49" s="14"/>
      <c r="H49" s="14"/>
      <c r="I49" s="31"/>
      <c r="J49" s="31"/>
      <c r="K49" s="15"/>
      <c r="L49" s="15"/>
      <c r="M49" s="15"/>
      <c r="N49" s="15"/>
      <c r="O49" s="15"/>
      <c r="P49" s="14"/>
      <c r="Q49" s="14"/>
      <c r="R49" s="14"/>
      <c r="S49" s="14"/>
      <c r="T49" s="14"/>
      <c r="U49" s="14"/>
      <c r="V49" s="14"/>
      <c r="W49" s="14"/>
      <c r="X49" s="14"/>
      <c r="Y49" s="13"/>
      <c r="Z49" s="44"/>
      <c r="AA49" s="43"/>
      <c r="AB49" s="13"/>
      <c r="AC49" s="13"/>
      <c r="AD49" s="13"/>
      <c r="AE49" s="13"/>
      <c r="AF49" s="13"/>
      <c r="AG49" s="13"/>
      <c r="AH49" s="13"/>
      <c r="AI49" s="13"/>
      <c r="AJ49" s="13"/>
      <c r="AK49" s="44"/>
    </row>
    <row r="50" spans="1:38" ht="12.75" customHeight="1">
      <c r="A50" s="41">
        <v>498</v>
      </c>
      <c r="B50" s="10">
        <v>1280</v>
      </c>
      <c r="C50" s="10" t="s">
        <v>174</v>
      </c>
      <c r="D50" s="16">
        <v>927.17</v>
      </c>
      <c r="E50" s="20" t="s">
        <v>175</v>
      </c>
      <c r="F50" s="20" t="s">
        <v>176</v>
      </c>
      <c r="G50" s="12">
        <v>1</v>
      </c>
      <c r="H50" s="12">
        <v>12</v>
      </c>
      <c r="I50" s="16">
        <f>ROUND(G50,0)</f>
        <v>1</v>
      </c>
      <c r="J50" s="16">
        <f>ROUND(H50,0)</f>
        <v>12</v>
      </c>
      <c r="K50" s="18" t="str">
        <f>IF(I50=J50,"TAM",(CONCATENATE(G50,"/",H50)))</f>
        <v>1/12</v>
      </c>
      <c r="L50" s="29">
        <f>927.17*1/12</f>
        <v>77.26416666666665</v>
      </c>
      <c r="M50" s="30">
        <v>0</v>
      </c>
      <c r="N50" s="16" t="str">
        <f>IF(M50=0,"0",(O50*M50))</f>
        <v>0</v>
      </c>
      <c r="O50" s="16">
        <f>IF(W50=1,L50,((D50*G50/H50)-P50)/(1-V50)-S50-T50)</f>
        <v>77.26416666666667</v>
      </c>
      <c r="P50" s="16">
        <v>0</v>
      </c>
      <c r="Q50" s="16">
        <f>IF(U50=0,"0",O50*U50)</f>
        <v>25.86436767605992</v>
      </c>
      <c r="R50" s="17">
        <f>IF(U50=0,(((D50*G50/H50)-P50-S50-T50)/(1-V50)),(((D50*G50/H50)-P50-S50-T50)/(1-V50))-((D50*G50/H50)-P50-S50-T50)*U50/(1-V50))</f>
        <v>51.39979899060675</v>
      </c>
      <c r="S50" s="12">
        <v>0</v>
      </c>
      <c r="T50" s="12">
        <v>0</v>
      </c>
      <c r="U50" s="12">
        <v>0.334752431714485</v>
      </c>
      <c r="V50" s="12">
        <v>0</v>
      </c>
      <c r="W50" s="28">
        <f>IF(V50&gt;U50,1,V50)</f>
        <v>0</v>
      </c>
      <c r="X50" s="12">
        <v>1</v>
      </c>
      <c r="Y50" s="16">
        <v>0</v>
      </c>
      <c r="Z50" s="42" t="str">
        <f>IF(OR(W50=1,W50=0),"0",(Q50-N50))</f>
        <v>0</v>
      </c>
      <c r="AA50" s="53" t="s">
        <v>178</v>
      </c>
      <c r="AB50" s="16" t="s">
        <v>180</v>
      </c>
      <c r="AC50" s="16">
        <v>51.39</v>
      </c>
      <c r="AD50" s="16">
        <v>616.8</v>
      </c>
      <c r="AE50" s="16">
        <f>ROUND(AC50*100,0)</f>
        <v>5139</v>
      </c>
      <c r="AF50" s="16">
        <f>ROUND(AD50*100,0)</f>
        <v>61680</v>
      </c>
      <c r="AG50" s="19" t="str">
        <f>IF(AC50=AD50,"TAM",(CONCATENATE(AE50,"/",AF50)))</f>
        <v>5139/61680</v>
      </c>
      <c r="AH50" s="11" t="s">
        <v>50</v>
      </c>
      <c r="AI50" s="21" t="s">
        <v>50</v>
      </c>
      <c r="AJ50" s="21" t="s">
        <v>179</v>
      </c>
      <c r="AK50" s="54" t="s">
        <v>50</v>
      </c>
      <c r="AL50" s="1" t="s">
        <v>50</v>
      </c>
    </row>
    <row r="51" spans="1:37" ht="33.75" customHeight="1">
      <c r="A51" s="43"/>
      <c r="B51" s="13"/>
      <c r="C51" s="13"/>
      <c r="D51" s="31"/>
      <c r="E51" s="34" t="s">
        <v>177</v>
      </c>
      <c r="F51" s="14"/>
      <c r="G51" s="14"/>
      <c r="H51" s="14"/>
      <c r="I51" s="31"/>
      <c r="J51" s="31"/>
      <c r="K51" s="15"/>
      <c r="L51" s="15"/>
      <c r="M51" s="15"/>
      <c r="N51" s="15"/>
      <c r="O51" s="15"/>
      <c r="P51" s="14"/>
      <c r="Q51" s="14"/>
      <c r="R51" s="14"/>
      <c r="S51" s="14"/>
      <c r="T51" s="14"/>
      <c r="U51" s="14"/>
      <c r="V51" s="14"/>
      <c r="W51" s="14"/>
      <c r="X51" s="14"/>
      <c r="Y51" s="13"/>
      <c r="Z51" s="44"/>
      <c r="AA51" s="43"/>
      <c r="AB51" s="13"/>
      <c r="AC51" s="13"/>
      <c r="AD51" s="13"/>
      <c r="AE51" s="13"/>
      <c r="AF51" s="13"/>
      <c r="AG51" s="13"/>
      <c r="AH51" s="13"/>
      <c r="AI51" s="13"/>
      <c r="AJ51" s="13"/>
      <c r="AK51" s="44"/>
    </row>
    <row r="52" spans="1:38" ht="12.75" customHeight="1">
      <c r="A52" s="41">
        <v>493</v>
      </c>
      <c r="B52" s="10">
        <v>1280</v>
      </c>
      <c r="C52" s="10" t="s">
        <v>181</v>
      </c>
      <c r="D52" s="16">
        <v>927.17</v>
      </c>
      <c r="E52" s="20" t="s">
        <v>182</v>
      </c>
      <c r="F52" s="20" t="s">
        <v>183</v>
      </c>
      <c r="G52" s="12">
        <v>3</v>
      </c>
      <c r="H52" s="12">
        <v>48</v>
      </c>
      <c r="I52" s="16">
        <f>ROUND(G52,0)</f>
        <v>3</v>
      </c>
      <c r="J52" s="16">
        <f>ROUND(H52,0)</f>
        <v>48</v>
      </c>
      <c r="K52" s="18" t="str">
        <f>IF(I52=J52,"TAM",(CONCATENATE(G52,"/",H52)))</f>
        <v>3/48</v>
      </c>
      <c r="L52" s="29">
        <f>927.17*3/48</f>
        <v>57.948125</v>
      </c>
      <c r="M52" s="30">
        <v>0</v>
      </c>
      <c r="N52" s="16" t="str">
        <f>IF(M52=0,"0",(O52*M52))</f>
        <v>0</v>
      </c>
      <c r="O52" s="16">
        <f>IF(W52=1,L52,((D52*G52/H52)-P52)/(1-V52)-S52-T52)</f>
        <v>57.948125</v>
      </c>
      <c r="P52" s="16">
        <v>0</v>
      </c>
      <c r="Q52" s="16">
        <f>IF(U52=0,"0",O52*U52)</f>
        <v>19.39827575704494</v>
      </c>
      <c r="R52" s="17">
        <f>IF(U52=0,(((D52*G52/H52)-P52-S52-T52)/(1-V52)),(((D52*G52/H52)-P52-S52-T52)/(1-V52))-((D52*G52/H52)-P52-S52-T52)*U52/(1-V52))</f>
        <v>38.54984924295506</v>
      </c>
      <c r="S52" s="12">
        <v>0</v>
      </c>
      <c r="T52" s="12">
        <v>0</v>
      </c>
      <c r="U52" s="12">
        <v>0.334752431714485</v>
      </c>
      <c r="V52" s="12">
        <v>0</v>
      </c>
      <c r="W52" s="28">
        <f>IF(V52&gt;U52,1,V52)</f>
        <v>0</v>
      </c>
      <c r="X52" s="12">
        <v>1</v>
      </c>
      <c r="Y52" s="16">
        <v>0</v>
      </c>
      <c r="Z52" s="42" t="str">
        <f>IF(OR(W52=1,W52=0),"0",(Q52-N52))</f>
        <v>0</v>
      </c>
      <c r="AA52" s="53" t="s">
        <v>184</v>
      </c>
      <c r="AB52" s="16" t="s">
        <v>186</v>
      </c>
      <c r="AC52" s="16">
        <v>38.55</v>
      </c>
      <c r="AD52" s="16">
        <v>616.8</v>
      </c>
      <c r="AE52" s="16">
        <f>ROUND(AC52*100,0)</f>
        <v>3855</v>
      </c>
      <c r="AF52" s="16">
        <f>ROUND(AD52*100,0)</f>
        <v>61680</v>
      </c>
      <c r="AG52" s="19" t="str">
        <f>IF(AC52=AD52,"TAM",(CONCATENATE(AE52,"/",AF52)))</f>
        <v>3855/61680</v>
      </c>
      <c r="AH52" s="11" t="s">
        <v>50</v>
      </c>
      <c r="AI52" s="21" t="s">
        <v>50</v>
      </c>
      <c r="AJ52" s="21" t="s">
        <v>185</v>
      </c>
      <c r="AK52" s="54" t="s">
        <v>50</v>
      </c>
      <c r="AL52" s="1" t="s">
        <v>50</v>
      </c>
    </row>
    <row r="53" spans="1:37" ht="12.75" customHeight="1">
      <c r="A53" s="43"/>
      <c r="B53" s="13"/>
      <c r="C53" s="13"/>
      <c r="D53" s="31"/>
      <c r="E53" s="14" t="s">
        <v>50</v>
      </c>
      <c r="F53" s="14"/>
      <c r="G53" s="14"/>
      <c r="H53" s="14"/>
      <c r="I53" s="31"/>
      <c r="J53" s="31"/>
      <c r="K53" s="15"/>
      <c r="L53" s="15"/>
      <c r="M53" s="15"/>
      <c r="N53" s="15"/>
      <c r="O53" s="15"/>
      <c r="P53" s="14"/>
      <c r="Q53" s="14"/>
      <c r="R53" s="14"/>
      <c r="S53" s="14"/>
      <c r="T53" s="14"/>
      <c r="U53" s="14"/>
      <c r="V53" s="14"/>
      <c r="W53" s="14"/>
      <c r="X53" s="14"/>
      <c r="Y53" s="13"/>
      <c r="Z53" s="44"/>
      <c r="AA53" s="43"/>
      <c r="AB53" s="13"/>
      <c r="AC53" s="13"/>
      <c r="AD53" s="13"/>
      <c r="AE53" s="13"/>
      <c r="AF53" s="13"/>
      <c r="AG53" s="13"/>
      <c r="AH53" s="13"/>
      <c r="AI53" s="13"/>
      <c r="AJ53" s="13"/>
      <c r="AK53" s="44"/>
    </row>
    <row r="54" spans="1:38" ht="12.75" customHeight="1">
      <c r="A54" s="41">
        <v>471</v>
      </c>
      <c r="B54" s="10">
        <v>1275</v>
      </c>
      <c r="C54" s="10" t="s">
        <v>187</v>
      </c>
      <c r="D54" s="16">
        <v>2013.84</v>
      </c>
      <c r="E54" s="20" t="s">
        <v>188</v>
      </c>
      <c r="F54" s="20" t="s">
        <v>189</v>
      </c>
      <c r="G54" s="12">
        <v>1</v>
      </c>
      <c r="H54" s="12">
        <v>1</v>
      </c>
      <c r="I54" s="16">
        <f>ROUND(G54,0)</f>
        <v>1</v>
      </c>
      <c r="J54" s="16">
        <f>ROUND(H54,0)</f>
        <v>1</v>
      </c>
      <c r="K54" s="18" t="str">
        <f>IF(I54=J54,"TAM",(CONCATENATE(G54,"/",H54)))</f>
        <v>TAM</v>
      </c>
      <c r="L54" s="29">
        <f>2013.84*1/1</f>
        <v>2013.84</v>
      </c>
      <c r="M54" s="30">
        <v>0</v>
      </c>
      <c r="N54" s="16" t="str">
        <f>IF(M54=0,"0",(O54*M54))</f>
        <v>0</v>
      </c>
      <c r="O54" s="16">
        <f>IF(W54=1,L54,((D54*G54/H54)-P54)/(1-V54)-S54-T54)</f>
        <v>2013.84</v>
      </c>
      <c r="P54" s="16">
        <v>0</v>
      </c>
      <c r="Q54" s="16">
        <f>IF(U54=0,"0",O54*U54)</f>
        <v>674.1378370838984</v>
      </c>
      <c r="R54" s="17">
        <f>IF(U54=0,(((D54*G54/H54)-P54-S54-T54)/(1-V54)),(((D54*G54/H54)-P54-S54-T54)/(1-V54))-((D54*G54/H54)-P54-S54-T54)*U54/(1-V54))</f>
        <v>1339.7021629161015</v>
      </c>
      <c r="S54" s="12">
        <v>0</v>
      </c>
      <c r="T54" s="12">
        <v>0</v>
      </c>
      <c r="U54" s="12">
        <v>0.334752431714485</v>
      </c>
      <c r="V54" s="12">
        <v>0</v>
      </c>
      <c r="W54" s="28">
        <f>IF(V54&gt;U54,1,V54)</f>
        <v>0</v>
      </c>
      <c r="X54" s="12">
        <v>1</v>
      </c>
      <c r="Y54" s="16">
        <v>0</v>
      </c>
      <c r="Z54" s="42" t="str">
        <f>IF(OR(W54=1,W54=0),"0",(Q54-N54))</f>
        <v>0</v>
      </c>
      <c r="AA54" s="53" t="s">
        <v>190</v>
      </c>
      <c r="AB54" s="16" t="s">
        <v>191</v>
      </c>
      <c r="AC54" s="16">
        <v>1339.7</v>
      </c>
      <c r="AD54" s="16">
        <v>1386.04</v>
      </c>
      <c r="AE54" s="16">
        <f>ROUND(AC54*100,0)</f>
        <v>133970</v>
      </c>
      <c r="AF54" s="16">
        <f>ROUND(AD54*100,0)</f>
        <v>138604</v>
      </c>
      <c r="AG54" s="19" t="str">
        <f>IF(AC54=AD54,"TAM",(CONCATENATE(AE54,"/",AF54)))</f>
        <v>133970/138604</v>
      </c>
      <c r="AH54" s="11" t="s">
        <v>50</v>
      </c>
      <c r="AI54" s="21" t="s">
        <v>50</v>
      </c>
      <c r="AJ54" s="71" t="s">
        <v>2425</v>
      </c>
      <c r="AK54" s="54" t="s">
        <v>50</v>
      </c>
      <c r="AL54" s="1" t="s">
        <v>50</v>
      </c>
    </row>
    <row r="55" spans="1:37" ht="12.75" customHeight="1">
      <c r="A55" s="43"/>
      <c r="B55" s="13"/>
      <c r="C55" s="13"/>
      <c r="D55" s="31"/>
      <c r="E55" s="14" t="s">
        <v>50</v>
      </c>
      <c r="F55" s="14"/>
      <c r="G55" s="14"/>
      <c r="H55" s="14"/>
      <c r="I55" s="31"/>
      <c r="J55" s="31"/>
      <c r="K55" s="15"/>
      <c r="L55" s="15"/>
      <c r="M55" s="15"/>
      <c r="N55" s="15"/>
      <c r="O55" s="15"/>
      <c r="P55" s="14"/>
      <c r="Q55" s="14"/>
      <c r="R55" s="14"/>
      <c r="S55" s="14"/>
      <c r="T55" s="14"/>
      <c r="U55" s="14"/>
      <c r="V55" s="14"/>
      <c r="W55" s="14"/>
      <c r="X55" s="14"/>
      <c r="Y55" s="13"/>
      <c r="Z55" s="44"/>
      <c r="AA55" s="43"/>
      <c r="AB55" s="13"/>
      <c r="AC55" s="13"/>
      <c r="AD55" s="13"/>
      <c r="AE55" s="13"/>
      <c r="AF55" s="13"/>
      <c r="AG55" s="13"/>
      <c r="AH55" s="13"/>
      <c r="AI55" s="13"/>
      <c r="AJ55" s="72"/>
      <c r="AK55" s="44"/>
    </row>
    <row r="56" spans="1:38" ht="12.75" customHeight="1">
      <c r="A56" s="41">
        <v>483</v>
      </c>
      <c r="B56" s="10">
        <v>1277</v>
      </c>
      <c r="C56" s="10" t="s">
        <v>192</v>
      </c>
      <c r="D56" s="16">
        <v>69.66</v>
      </c>
      <c r="E56" s="20" t="s">
        <v>193</v>
      </c>
      <c r="F56" s="20" t="s">
        <v>194</v>
      </c>
      <c r="G56" s="12">
        <v>1</v>
      </c>
      <c r="H56" s="12">
        <v>1</v>
      </c>
      <c r="I56" s="16">
        <f>ROUND(G56,0)</f>
        <v>1</v>
      </c>
      <c r="J56" s="16">
        <f>ROUND(H56,0)</f>
        <v>1</v>
      </c>
      <c r="K56" s="18" t="str">
        <f>IF(I56=J56,"TAM",(CONCATENATE(G56,"/",H56)))</f>
        <v>TAM</v>
      </c>
      <c r="L56" s="29">
        <f>69.66*1/1</f>
        <v>69.66</v>
      </c>
      <c r="M56" s="30">
        <v>0</v>
      </c>
      <c r="N56" s="16" t="str">
        <f>IF(M56=0,"0",(O56*M56))</f>
        <v>0</v>
      </c>
      <c r="O56" s="16">
        <f>IF(W56=1,L56,((D56*G56/H56)-P56)/(1-V56)-S56-T56)</f>
        <v>69.66</v>
      </c>
      <c r="P56" s="16">
        <v>0</v>
      </c>
      <c r="Q56" s="16">
        <f>IF(U56=0,"0",O56*U56)</f>
        <v>23.318854393231025</v>
      </c>
      <c r="R56" s="17">
        <f>IF(U56=0,(((D56*G56/H56)-P56-S56-T56)/(1-V56)),(((D56*G56/H56)-P56-S56-T56)/(1-V56))-((D56*G56/H56)-P56-S56-T56)*U56/(1-V56))</f>
        <v>46.341145606768976</v>
      </c>
      <c r="S56" s="12">
        <v>0</v>
      </c>
      <c r="T56" s="12">
        <v>0</v>
      </c>
      <c r="U56" s="12">
        <v>0.334752431714485</v>
      </c>
      <c r="V56" s="12">
        <v>0</v>
      </c>
      <c r="W56" s="28">
        <f>IF(V56&gt;U56,1,V56)</f>
        <v>0</v>
      </c>
      <c r="X56" s="12">
        <v>1</v>
      </c>
      <c r="Y56" s="16">
        <v>0</v>
      </c>
      <c r="Z56" s="42" t="str">
        <f>IF(OR(W56=1,W56=0),"0",(Q56-N56))</f>
        <v>0</v>
      </c>
      <c r="AA56" s="53" t="s">
        <v>195</v>
      </c>
      <c r="AB56" s="16" t="s">
        <v>196</v>
      </c>
      <c r="AC56" s="16">
        <v>46.34</v>
      </c>
      <c r="AD56" s="16">
        <v>1386.04</v>
      </c>
      <c r="AE56" s="16">
        <f>ROUND(AC56*100,0)</f>
        <v>4634</v>
      </c>
      <c r="AF56" s="16">
        <f>ROUND(AD56*100,0)</f>
        <v>138604</v>
      </c>
      <c r="AG56" s="19" t="str">
        <f>IF(AC56=AD56,"TAM",(CONCATENATE(AE56,"/",AF56)))</f>
        <v>4634/138604</v>
      </c>
      <c r="AH56" s="11" t="s">
        <v>50</v>
      </c>
      <c r="AI56" s="21" t="s">
        <v>50</v>
      </c>
      <c r="AJ56" s="71" t="s">
        <v>2425</v>
      </c>
      <c r="AK56" s="54" t="s">
        <v>50</v>
      </c>
      <c r="AL56" s="1" t="s">
        <v>50</v>
      </c>
    </row>
    <row r="57" spans="1:37" ht="12.75" customHeight="1">
      <c r="A57" s="43"/>
      <c r="B57" s="13"/>
      <c r="C57" s="13"/>
      <c r="D57" s="31"/>
      <c r="E57" s="14" t="s">
        <v>50</v>
      </c>
      <c r="F57" s="14"/>
      <c r="G57" s="14"/>
      <c r="H57" s="14"/>
      <c r="I57" s="31"/>
      <c r="J57" s="31"/>
      <c r="K57" s="15"/>
      <c r="L57" s="15"/>
      <c r="M57" s="15"/>
      <c r="N57" s="15"/>
      <c r="O57" s="15"/>
      <c r="P57" s="14"/>
      <c r="Q57" s="14"/>
      <c r="R57" s="14"/>
      <c r="S57" s="14"/>
      <c r="T57" s="14"/>
      <c r="U57" s="14"/>
      <c r="V57" s="14"/>
      <c r="W57" s="14"/>
      <c r="X57" s="14"/>
      <c r="Y57" s="13"/>
      <c r="Z57" s="44"/>
      <c r="AA57" s="43"/>
      <c r="AB57" s="13"/>
      <c r="AC57" s="13"/>
      <c r="AD57" s="13"/>
      <c r="AE57" s="13"/>
      <c r="AF57" s="13"/>
      <c r="AG57" s="13"/>
      <c r="AH57" s="13"/>
      <c r="AI57" s="13"/>
      <c r="AJ57" s="72"/>
      <c r="AK57" s="44"/>
    </row>
    <row r="58" spans="1:38" ht="12.75" customHeight="1">
      <c r="A58" s="41">
        <v>460</v>
      </c>
      <c r="B58" s="10">
        <v>1140</v>
      </c>
      <c r="C58" s="10" t="s">
        <v>197</v>
      </c>
      <c r="D58" s="16">
        <v>1667.3</v>
      </c>
      <c r="E58" s="20" t="s">
        <v>198</v>
      </c>
      <c r="F58" s="20" t="s">
        <v>199</v>
      </c>
      <c r="G58" s="12">
        <v>1</v>
      </c>
      <c r="H58" s="12">
        <v>2</v>
      </c>
      <c r="I58" s="16">
        <f>ROUND(G58,0)</f>
        <v>1</v>
      </c>
      <c r="J58" s="16">
        <f>ROUND(H58,0)</f>
        <v>2</v>
      </c>
      <c r="K58" s="18" t="str">
        <f>IF(I58=J58,"TAM",(CONCATENATE(G58,"/",H58)))</f>
        <v>1/2</v>
      </c>
      <c r="L58" s="29">
        <f>1667.3*1/2</f>
        <v>833.65</v>
      </c>
      <c r="M58" s="30">
        <v>0</v>
      </c>
      <c r="N58" s="16" t="str">
        <f>IF(M58=0,"0",(O58*M58))</f>
        <v>0</v>
      </c>
      <c r="O58" s="16">
        <f>IF(W58=1,L58,((D58*G58/H58)-P58)/(1-V58)-S58-T58)</f>
        <v>833.65</v>
      </c>
      <c r="P58" s="16">
        <v>0</v>
      </c>
      <c r="Q58" s="16">
        <f>IF(U58=0,"0",O58*U58)</f>
        <v>279.0663646987804</v>
      </c>
      <c r="R58" s="17">
        <f>IF(U58=0,(((D58*G58/H58)-P58-S58-T58)/(1-V58)),(((D58*G58/H58)-P58-S58-T58)/(1-V58))-((D58*G58/H58)-P58-S58-T58)*U58/(1-V58))</f>
        <v>554.5836353012196</v>
      </c>
      <c r="S58" s="12">
        <v>0</v>
      </c>
      <c r="T58" s="12">
        <v>0</v>
      </c>
      <c r="U58" s="12">
        <v>0.334752431714485</v>
      </c>
      <c r="V58" s="12">
        <v>0</v>
      </c>
      <c r="W58" s="28">
        <f>IF(V58&gt;U58,1,V58)</f>
        <v>0</v>
      </c>
      <c r="X58" s="12">
        <v>1</v>
      </c>
      <c r="Y58" s="16">
        <v>0</v>
      </c>
      <c r="Z58" s="42" t="str">
        <f>IF(OR(W58=1,W58=0),"0",(Q58-N58))</f>
        <v>0</v>
      </c>
      <c r="AA58" s="53" t="s">
        <v>200</v>
      </c>
      <c r="AB58" s="16" t="s">
        <v>202</v>
      </c>
      <c r="AC58" s="16">
        <v>255.27</v>
      </c>
      <c r="AD58" s="16">
        <v>510.54</v>
      </c>
      <c r="AE58" s="16">
        <f>ROUND(AC58*100,0)</f>
        <v>25527</v>
      </c>
      <c r="AF58" s="16">
        <f>ROUND(AD58*100,0)</f>
        <v>51054</v>
      </c>
      <c r="AG58" s="19" t="str">
        <f>IF(AC58=AD58,"TAM",(CONCATENATE(AE58,"/",AF58)))</f>
        <v>25527/51054</v>
      </c>
      <c r="AH58" s="11" t="s">
        <v>50</v>
      </c>
      <c r="AI58" s="21" t="s">
        <v>50</v>
      </c>
      <c r="AJ58" s="21" t="s">
        <v>201</v>
      </c>
      <c r="AK58" s="54" t="s">
        <v>50</v>
      </c>
      <c r="AL58" s="1" t="s">
        <v>50</v>
      </c>
    </row>
    <row r="59" spans="1:37" ht="12.75" customHeight="1">
      <c r="A59" s="43"/>
      <c r="B59" s="13"/>
      <c r="C59" s="13"/>
      <c r="D59" s="31"/>
      <c r="E59" s="14" t="s">
        <v>50</v>
      </c>
      <c r="F59" s="14"/>
      <c r="G59" s="14"/>
      <c r="H59" s="14"/>
      <c r="I59" s="31"/>
      <c r="J59" s="31"/>
      <c r="K59" s="15"/>
      <c r="L59" s="15"/>
      <c r="M59" s="15"/>
      <c r="N59" s="15"/>
      <c r="O59" s="15"/>
      <c r="P59" s="14"/>
      <c r="Q59" s="14"/>
      <c r="R59" s="14"/>
      <c r="S59" s="14"/>
      <c r="T59" s="14"/>
      <c r="U59" s="14"/>
      <c r="V59" s="14"/>
      <c r="W59" s="14"/>
      <c r="X59" s="14"/>
      <c r="Y59" s="13"/>
      <c r="Z59" s="44"/>
      <c r="AA59" s="43"/>
      <c r="AB59" s="13"/>
      <c r="AC59" s="13"/>
      <c r="AD59" s="13"/>
      <c r="AE59" s="13"/>
      <c r="AF59" s="13"/>
      <c r="AG59" s="13"/>
      <c r="AH59" s="13"/>
      <c r="AI59" s="13"/>
      <c r="AJ59" s="13"/>
      <c r="AK59" s="44"/>
    </row>
    <row r="60" spans="1:38" ht="12.75" customHeight="1">
      <c r="A60" s="41">
        <v>459</v>
      </c>
      <c r="B60" s="10">
        <v>1140</v>
      </c>
      <c r="C60" s="10" t="s">
        <v>203</v>
      </c>
      <c r="D60" s="16">
        <v>1667.3</v>
      </c>
      <c r="E60" s="20" t="s">
        <v>204</v>
      </c>
      <c r="F60" s="20" t="s">
        <v>205</v>
      </c>
      <c r="G60" s="12">
        <v>1</v>
      </c>
      <c r="H60" s="12">
        <v>2</v>
      </c>
      <c r="I60" s="16">
        <f>ROUND(G60,0)</f>
        <v>1</v>
      </c>
      <c r="J60" s="16">
        <f>ROUND(H60,0)</f>
        <v>2</v>
      </c>
      <c r="K60" s="18" t="str">
        <f>IF(I60=J60,"TAM",(CONCATENATE(G60,"/",H60)))</f>
        <v>1/2</v>
      </c>
      <c r="L60" s="29">
        <f>1667.3*1/2</f>
        <v>833.65</v>
      </c>
      <c r="M60" s="30">
        <v>0</v>
      </c>
      <c r="N60" s="16" t="str">
        <f>IF(M60=0,"0",(O60*M60))</f>
        <v>0</v>
      </c>
      <c r="O60" s="16">
        <f>IF(W60=1,L60,((D60*G60/H60)-P60)/(1-V60)-S60-T60)</f>
        <v>833.65</v>
      </c>
      <c r="P60" s="16">
        <v>0</v>
      </c>
      <c r="Q60" s="16">
        <f>IF(U60=0,"0",O60*U60)</f>
        <v>279.0663646987804</v>
      </c>
      <c r="R60" s="17">
        <f>IF(U60=0,(((D60*G60/H60)-P60-S60-T60)/(1-V60)),(((D60*G60/H60)-P60-S60-T60)/(1-V60))-((D60*G60/H60)-P60-S60-T60)*U60/(1-V60))</f>
        <v>554.5836353012196</v>
      </c>
      <c r="S60" s="12">
        <v>0</v>
      </c>
      <c r="T60" s="12">
        <v>0</v>
      </c>
      <c r="U60" s="12">
        <v>0.334752431714485</v>
      </c>
      <c r="V60" s="12">
        <v>0</v>
      </c>
      <c r="W60" s="28">
        <f>IF(V60&gt;U60,1,V60)</f>
        <v>0</v>
      </c>
      <c r="X60" s="12">
        <v>1</v>
      </c>
      <c r="Y60" s="16">
        <v>0</v>
      </c>
      <c r="Z60" s="42" t="str">
        <f>IF(OR(W60=1,W60=0),"0",(Q60-N60))</f>
        <v>0</v>
      </c>
      <c r="AA60" s="53" t="s">
        <v>206</v>
      </c>
      <c r="AB60" s="16" t="s">
        <v>208</v>
      </c>
      <c r="AC60" s="16">
        <v>255.27</v>
      </c>
      <c r="AD60" s="16">
        <v>510.54</v>
      </c>
      <c r="AE60" s="16">
        <f>ROUND(AC60*100,0)</f>
        <v>25527</v>
      </c>
      <c r="AF60" s="16">
        <f>ROUND(AD60*100,0)</f>
        <v>51054</v>
      </c>
      <c r="AG60" s="19" t="str">
        <f>IF(AC60=AD60,"TAM",(CONCATENATE(AE60,"/",AF60)))</f>
        <v>25527/51054</v>
      </c>
      <c r="AH60" s="11" t="s">
        <v>50</v>
      </c>
      <c r="AI60" s="21" t="s">
        <v>50</v>
      </c>
      <c r="AJ60" s="21" t="s">
        <v>207</v>
      </c>
      <c r="AK60" s="54" t="s">
        <v>50</v>
      </c>
      <c r="AL60" s="1" t="s">
        <v>50</v>
      </c>
    </row>
    <row r="61" spans="1:37" ht="12.75" customHeight="1">
      <c r="A61" s="43"/>
      <c r="B61" s="13"/>
      <c r="C61" s="13"/>
      <c r="D61" s="31"/>
      <c r="E61" s="14" t="s">
        <v>50</v>
      </c>
      <c r="F61" s="14"/>
      <c r="G61" s="14"/>
      <c r="H61" s="14"/>
      <c r="I61" s="31"/>
      <c r="J61" s="31"/>
      <c r="K61" s="15"/>
      <c r="L61" s="15"/>
      <c r="M61" s="15"/>
      <c r="N61" s="15"/>
      <c r="O61" s="15"/>
      <c r="P61" s="14"/>
      <c r="Q61" s="14"/>
      <c r="R61" s="14"/>
      <c r="S61" s="14"/>
      <c r="T61" s="14"/>
      <c r="U61" s="14"/>
      <c r="V61" s="14"/>
      <c r="W61" s="14"/>
      <c r="X61" s="14"/>
      <c r="Y61" s="13"/>
      <c r="Z61" s="44"/>
      <c r="AA61" s="43"/>
      <c r="AB61" s="13"/>
      <c r="AC61" s="13"/>
      <c r="AD61" s="13"/>
      <c r="AE61" s="13"/>
      <c r="AF61" s="13"/>
      <c r="AG61" s="13"/>
      <c r="AH61" s="13"/>
      <c r="AI61" s="13"/>
      <c r="AJ61" s="13"/>
      <c r="AK61" s="44"/>
    </row>
    <row r="62" spans="1:38" ht="12.75" customHeight="1">
      <c r="A62" s="41">
        <v>318</v>
      </c>
      <c r="B62" s="10">
        <v>1100</v>
      </c>
      <c r="C62" s="10" t="s">
        <v>209</v>
      </c>
      <c r="D62" s="16">
        <v>2079.7</v>
      </c>
      <c r="E62" s="20" t="s">
        <v>210</v>
      </c>
      <c r="F62" s="20" t="s">
        <v>211</v>
      </c>
      <c r="G62" s="12">
        <v>3</v>
      </c>
      <c r="H62" s="12">
        <v>14</v>
      </c>
      <c r="I62" s="16">
        <f>ROUND(G62,0)</f>
        <v>3</v>
      </c>
      <c r="J62" s="16">
        <f>ROUND(H62,0)</f>
        <v>14</v>
      </c>
      <c r="K62" s="18" t="str">
        <f>IF(I62=J62,"TAM",(CONCATENATE(G62,"/",H62)))</f>
        <v>3/14</v>
      </c>
      <c r="L62" s="29">
        <f>2079.7*3/14</f>
        <v>445.6499999999999</v>
      </c>
      <c r="M62" s="30">
        <v>0</v>
      </c>
      <c r="N62" s="16" t="str">
        <f>IF(M62=0,"0",(O62*M62))</f>
        <v>0</v>
      </c>
      <c r="O62" s="16">
        <f>IF(W62=1,L62,((D62*G62/H62)-P62)/(1-V62)-S62-T62)</f>
        <v>445.65</v>
      </c>
      <c r="P62" s="16">
        <v>0</v>
      </c>
      <c r="Q62" s="16">
        <f>IF(U62=0,"0",O62*U62)</f>
        <v>149.18242119356023</v>
      </c>
      <c r="R62" s="17">
        <f>IF(U62=0,(((D62*G62/H62)-P62-S62-T62)/(1-V62)),(((D62*G62/H62)-P62-S62-T62)/(1-V62))-((D62*G62/H62)-P62-S62-T62)*U62/(1-V62))</f>
        <v>296.46757880643975</v>
      </c>
      <c r="S62" s="12">
        <v>0</v>
      </c>
      <c r="T62" s="12">
        <v>0</v>
      </c>
      <c r="U62" s="12">
        <v>0.334752431714485</v>
      </c>
      <c r="V62" s="12">
        <v>0</v>
      </c>
      <c r="W62" s="28">
        <f>IF(V62&gt;U62,1,V62)</f>
        <v>0</v>
      </c>
      <c r="X62" s="12">
        <v>1</v>
      </c>
      <c r="Y62" s="16">
        <v>0</v>
      </c>
      <c r="Z62" s="42" t="str">
        <f>IF(OR(W62=1,W62=0),"0",(Q62-N62))</f>
        <v>0</v>
      </c>
      <c r="AA62" s="53" t="s">
        <v>212</v>
      </c>
      <c r="AB62" s="16" t="s">
        <v>214</v>
      </c>
      <c r="AC62" s="16">
        <v>15.92</v>
      </c>
      <c r="AD62" s="16">
        <v>655.08</v>
      </c>
      <c r="AE62" s="16">
        <f>ROUND(AC62*100,0)</f>
        <v>1592</v>
      </c>
      <c r="AF62" s="16">
        <f>ROUND(AD62*100,0)</f>
        <v>65508</v>
      </c>
      <c r="AG62" s="19" t="str">
        <f>IF(AC62=AD62,"TAM",(CONCATENATE(AE62,"/",AF62)))</f>
        <v>1592/65508</v>
      </c>
      <c r="AH62" s="11" t="s">
        <v>50</v>
      </c>
      <c r="AI62" s="21" t="s">
        <v>50</v>
      </c>
      <c r="AJ62" s="21" t="s">
        <v>213</v>
      </c>
      <c r="AK62" s="54" t="s">
        <v>50</v>
      </c>
      <c r="AL62" s="1" t="s">
        <v>50</v>
      </c>
    </row>
    <row r="63" spans="1:37" ht="12.75" customHeight="1">
      <c r="A63" s="43"/>
      <c r="B63" s="13"/>
      <c r="C63" s="13"/>
      <c r="D63" s="31"/>
      <c r="E63" s="14" t="s">
        <v>50</v>
      </c>
      <c r="F63" s="14"/>
      <c r="G63" s="14"/>
      <c r="H63" s="14"/>
      <c r="I63" s="31"/>
      <c r="J63" s="31"/>
      <c r="K63" s="15"/>
      <c r="L63" s="15"/>
      <c r="M63" s="15"/>
      <c r="N63" s="15"/>
      <c r="O63" s="15"/>
      <c r="P63" s="14"/>
      <c r="Q63" s="14"/>
      <c r="R63" s="14"/>
      <c r="S63" s="14"/>
      <c r="T63" s="14"/>
      <c r="U63" s="14"/>
      <c r="V63" s="14"/>
      <c r="W63" s="14"/>
      <c r="X63" s="14"/>
      <c r="Y63" s="13"/>
      <c r="Z63" s="44"/>
      <c r="AA63" s="43"/>
      <c r="AB63" s="13"/>
      <c r="AC63" s="13"/>
      <c r="AD63" s="13"/>
      <c r="AE63" s="13"/>
      <c r="AF63" s="13"/>
      <c r="AG63" s="13"/>
      <c r="AH63" s="13"/>
      <c r="AI63" s="13"/>
      <c r="AJ63" s="13"/>
      <c r="AK63" s="44"/>
    </row>
    <row r="64" spans="1:38" ht="12.75" customHeight="1">
      <c r="A64" s="41">
        <v>317</v>
      </c>
      <c r="B64" s="10">
        <v>1100</v>
      </c>
      <c r="C64" s="10" t="s">
        <v>215</v>
      </c>
      <c r="D64" s="16">
        <v>2079.7</v>
      </c>
      <c r="E64" s="20" t="s">
        <v>216</v>
      </c>
      <c r="F64" s="20" t="s">
        <v>217</v>
      </c>
      <c r="G64" s="12">
        <v>3</v>
      </c>
      <c r="H64" s="12">
        <v>14</v>
      </c>
      <c r="I64" s="16">
        <f>ROUND(G64,0)</f>
        <v>3</v>
      </c>
      <c r="J64" s="16">
        <f>ROUND(H64,0)</f>
        <v>14</v>
      </c>
      <c r="K64" s="18" t="str">
        <f>IF(I64=J64,"TAM",(CONCATENATE(G64,"/",H64)))</f>
        <v>3/14</v>
      </c>
      <c r="L64" s="29">
        <f>2079.7*3/14</f>
        <v>445.6499999999999</v>
      </c>
      <c r="M64" s="30">
        <v>0</v>
      </c>
      <c r="N64" s="16" t="str">
        <f>IF(M64=0,"0",(O64*M64))</f>
        <v>0</v>
      </c>
      <c r="O64" s="16">
        <f>IF(W64=1,L64,((D64*G64/H64)-P64)/(1-V64)-S64-T64)</f>
        <v>445.65</v>
      </c>
      <c r="P64" s="16">
        <v>0</v>
      </c>
      <c r="Q64" s="16">
        <f>IF(U64=0,"0",O64*U64)</f>
        <v>149.18242119356023</v>
      </c>
      <c r="R64" s="17">
        <f>IF(U64=0,(((D64*G64/H64)-P64-S64-T64)/(1-V64)),(((D64*G64/H64)-P64-S64-T64)/(1-V64))-((D64*G64/H64)-P64-S64-T64)*U64/(1-V64))</f>
        <v>296.46757880643975</v>
      </c>
      <c r="S64" s="12">
        <v>0</v>
      </c>
      <c r="T64" s="12">
        <v>0</v>
      </c>
      <c r="U64" s="12">
        <v>0.334752431714485</v>
      </c>
      <c r="V64" s="12">
        <v>0</v>
      </c>
      <c r="W64" s="28">
        <f>IF(V64&gt;U64,1,V64)</f>
        <v>0</v>
      </c>
      <c r="X64" s="12">
        <v>1</v>
      </c>
      <c r="Y64" s="16">
        <v>0</v>
      </c>
      <c r="Z64" s="42" t="str">
        <f>IF(OR(W64=1,W64=0),"0",(Q64-N64))</f>
        <v>0</v>
      </c>
      <c r="AA64" s="53" t="s">
        <v>218</v>
      </c>
      <c r="AB64" s="16" t="s">
        <v>220</v>
      </c>
      <c r="AC64" s="16">
        <v>15.92</v>
      </c>
      <c r="AD64" s="16">
        <v>655.08</v>
      </c>
      <c r="AE64" s="16">
        <f>ROUND(AC64*100,0)</f>
        <v>1592</v>
      </c>
      <c r="AF64" s="16">
        <f>ROUND(AD64*100,0)</f>
        <v>65508</v>
      </c>
      <c r="AG64" s="19" t="str">
        <f>IF(AC64=AD64,"TAM",(CONCATENATE(AE64,"/",AF64)))</f>
        <v>1592/65508</v>
      </c>
      <c r="AH64" s="11" t="s">
        <v>50</v>
      </c>
      <c r="AI64" s="21" t="s">
        <v>50</v>
      </c>
      <c r="AJ64" s="21" t="s">
        <v>219</v>
      </c>
      <c r="AK64" s="54" t="s">
        <v>50</v>
      </c>
      <c r="AL64" s="1" t="s">
        <v>50</v>
      </c>
    </row>
    <row r="65" spans="1:37" ht="12.75" customHeight="1">
      <c r="A65" s="43"/>
      <c r="B65" s="13"/>
      <c r="C65" s="13"/>
      <c r="D65" s="31"/>
      <c r="E65" s="14" t="s">
        <v>50</v>
      </c>
      <c r="F65" s="14"/>
      <c r="G65" s="14"/>
      <c r="H65" s="14"/>
      <c r="I65" s="31"/>
      <c r="J65" s="31"/>
      <c r="K65" s="15"/>
      <c r="L65" s="15"/>
      <c r="M65" s="15"/>
      <c r="N65" s="15"/>
      <c r="O65" s="15"/>
      <c r="P65" s="14"/>
      <c r="Q65" s="14"/>
      <c r="R65" s="14"/>
      <c r="S65" s="14"/>
      <c r="T65" s="14"/>
      <c r="U65" s="14"/>
      <c r="V65" s="14"/>
      <c r="W65" s="14"/>
      <c r="X65" s="14"/>
      <c r="Y65" s="13"/>
      <c r="Z65" s="44"/>
      <c r="AA65" s="43"/>
      <c r="AB65" s="13"/>
      <c r="AC65" s="13"/>
      <c r="AD65" s="13"/>
      <c r="AE65" s="13"/>
      <c r="AF65" s="13"/>
      <c r="AG65" s="13"/>
      <c r="AH65" s="13"/>
      <c r="AI65" s="13"/>
      <c r="AJ65" s="13"/>
      <c r="AK65" s="44"/>
    </row>
    <row r="66" spans="1:38" ht="12.75" customHeight="1">
      <c r="A66" s="41">
        <v>316</v>
      </c>
      <c r="B66" s="10">
        <v>1100</v>
      </c>
      <c r="C66" s="10" t="s">
        <v>221</v>
      </c>
      <c r="D66" s="16">
        <v>2079.7</v>
      </c>
      <c r="E66" s="20" t="s">
        <v>222</v>
      </c>
      <c r="F66" s="20" t="s">
        <v>223</v>
      </c>
      <c r="G66" s="12">
        <v>8</v>
      </c>
      <c r="H66" s="12">
        <v>14</v>
      </c>
      <c r="I66" s="16">
        <f>ROUND(G66,0)</f>
        <v>8</v>
      </c>
      <c r="J66" s="16">
        <f>ROUND(H66,0)</f>
        <v>14</v>
      </c>
      <c r="K66" s="18" t="str">
        <f>IF(I66=J66,"TAM",(CONCATENATE(G66,"/",H66)))</f>
        <v>8/14</v>
      </c>
      <c r="L66" s="29">
        <f>2079.7*8/14</f>
        <v>1188.3999999999999</v>
      </c>
      <c r="M66" s="30">
        <v>0</v>
      </c>
      <c r="N66" s="16" t="str">
        <f>IF(M66=0,"0",(O66*M66))</f>
        <v>0</v>
      </c>
      <c r="O66" s="16">
        <f>IF(W66=1,L66,((D66*G66/H66)-P66)/(1-V66)-S66-T66)</f>
        <v>1188.3999999999999</v>
      </c>
      <c r="P66" s="16">
        <v>0</v>
      </c>
      <c r="Q66" s="16">
        <f>IF(U66=0,"0",O66*U66)</f>
        <v>397.81978984949393</v>
      </c>
      <c r="R66" s="17">
        <f>IF(U66=0,(((D66*G66/H66)-P66-S66-T66)/(1-V66)),(((D66*G66/H66)-P66-S66-T66)/(1-V66))-((D66*G66/H66)-P66-S66-T66)*U66/(1-V66))</f>
        <v>790.580210150506</v>
      </c>
      <c r="S66" s="12">
        <v>0</v>
      </c>
      <c r="T66" s="12">
        <v>0</v>
      </c>
      <c r="U66" s="12">
        <v>0.334752431714485</v>
      </c>
      <c r="V66" s="12">
        <v>0</v>
      </c>
      <c r="W66" s="28">
        <f>IF(V66&gt;U66,1,V66)</f>
        <v>0</v>
      </c>
      <c r="X66" s="12">
        <v>1</v>
      </c>
      <c r="Y66" s="16">
        <v>0</v>
      </c>
      <c r="Z66" s="42" t="str">
        <f>IF(OR(W66=1,W66=0),"0",(Q66-N66))</f>
        <v>0</v>
      </c>
      <c r="AA66" s="53" t="s">
        <v>224</v>
      </c>
      <c r="AB66" s="16" t="s">
        <v>226</v>
      </c>
      <c r="AC66" s="16">
        <v>42.46</v>
      </c>
      <c r="AD66" s="16">
        <v>655.08</v>
      </c>
      <c r="AE66" s="16">
        <f>ROUND(AC66*100,0)</f>
        <v>4246</v>
      </c>
      <c r="AF66" s="16">
        <f>ROUND(AD66*100,0)</f>
        <v>65508</v>
      </c>
      <c r="AG66" s="19" t="str">
        <f>IF(AC66=AD66,"TAM",(CONCATENATE(AE66,"/",AF66)))</f>
        <v>4246/65508</v>
      </c>
      <c r="AH66" s="11" t="s">
        <v>50</v>
      </c>
      <c r="AI66" s="21" t="s">
        <v>50</v>
      </c>
      <c r="AJ66" s="21" t="s">
        <v>225</v>
      </c>
      <c r="AK66" s="54" t="s">
        <v>50</v>
      </c>
      <c r="AL66" s="1" t="s">
        <v>50</v>
      </c>
    </row>
    <row r="67" spans="1:37" ht="12.75" customHeight="1">
      <c r="A67" s="43"/>
      <c r="B67" s="13"/>
      <c r="C67" s="13"/>
      <c r="D67" s="31"/>
      <c r="E67" s="14" t="s">
        <v>50</v>
      </c>
      <c r="F67" s="14"/>
      <c r="G67" s="14"/>
      <c r="H67" s="14"/>
      <c r="I67" s="31"/>
      <c r="J67" s="31"/>
      <c r="K67" s="15"/>
      <c r="L67" s="15"/>
      <c r="M67" s="15"/>
      <c r="N67" s="15"/>
      <c r="O67" s="15"/>
      <c r="P67" s="14"/>
      <c r="Q67" s="14"/>
      <c r="R67" s="14"/>
      <c r="S67" s="14"/>
      <c r="T67" s="14"/>
      <c r="U67" s="14"/>
      <c r="V67" s="14"/>
      <c r="W67" s="14"/>
      <c r="X67" s="14"/>
      <c r="Y67" s="13"/>
      <c r="Z67" s="44"/>
      <c r="AA67" s="43"/>
      <c r="AB67" s="13"/>
      <c r="AC67" s="13"/>
      <c r="AD67" s="13"/>
      <c r="AE67" s="13"/>
      <c r="AF67" s="13"/>
      <c r="AG67" s="13"/>
      <c r="AH67" s="13"/>
      <c r="AI67" s="13"/>
      <c r="AJ67" s="13"/>
      <c r="AK67" s="44"/>
    </row>
    <row r="68" spans="1:38" ht="12.75" customHeight="1">
      <c r="A68" s="41">
        <v>502</v>
      </c>
      <c r="B68" s="10">
        <v>1281</v>
      </c>
      <c r="C68" s="10" t="s">
        <v>227</v>
      </c>
      <c r="D68" s="16">
        <v>2535.78</v>
      </c>
      <c r="E68" s="20" t="s">
        <v>228</v>
      </c>
      <c r="F68" s="20" t="s">
        <v>229</v>
      </c>
      <c r="G68" s="12">
        <v>1</v>
      </c>
      <c r="H68" s="12">
        <v>1</v>
      </c>
      <c r="I68" s="16">
        <f>ROUND(G68,0)</f>
        <v>1</v>
      </c>
      <c r="J68" s="16">
        <f>ROUND(H68,0)</f>
        <v>1</v>
      </c>
      <c r="K68" s="18" t="str">
        <f>IF(I68=J68,"TAM",(CONCATENATE(G68,"/",H68)))</f>
        <v>TAM</v>
      </c>
      <c r="L68" s="29">
        <f>2535.78*1/1</f>
        <v>2535.78</v>
      </c>
      <c r="M68" s="30">
        <v>0</v>
      </c>
      <c r="N68" s="16" t="str">
        <f>IF(M68=0,"0",(O68*M68))</f>
        <v>0</v>
      </c>
      <c r="O68" s="16">
        <f>IF(W68=1,L68,((D68*G68/H68)-P68)/(1-V68)-S68-T68)</f>
        <v>2535.78</v>
      </c>
      <c r="P68" s="16">
        <v>0</v>
      </c>
      <c r="Q68" s="16">
        <f>IF(U68=0,"0",O68*U68)</f>
        <v>848.8585212929568</v>
      </c>
      <c r="R68" s="17">
        <f>IF(U68=0,(((D68*G68/H68)-P68-S68-T68)/(1-V68)),(((D68*G68/H68)-P68-S68-T68)/(1-V68))-((D68*G68/H68)-P68-S68-T68)*U68/(1-V68))</f>
        <v>1686.9214787070434</v>
      </c>
      <c r="S68" s="12">
        <v>0</v>
      </c>
      <c r="T68" s="12">
        <v>0</v>
      </c>
      <c r="U68" s="12">
        <v>0.334752431714485</v>
      </c>
      <c r="V68" s="12">
        <v>0</v>
      </c>
      <c r="W68" s="28">
        <f>IF(V68&gt;U68,1,V68)</f>
        <v>0</v>
      </c>
      <c r="X68" s="12">
        <v>1</v>
      </c>
      <c r="Y68" s="16">
        <v>0</v>
      </c>
      <c r="Z68" s="42" t="str">
        <f>IF(OR(W68=1,W68=0),"0",(Q68-N68))</f>
        <v>0</v>
      </c>
      <c r="AA68" s="53" t="s">
        <v>231</v>
      </c>
      <c r="AB68" s="16" t="s">
        <v>233</v>
      </c>
      <c r="AC68" s="16">
        <v>580.78</v>
      </c>
      <c r="AD68" s="16">
        <v>655.08</v>
      </c>
      <c r="AE68" s="16">
        <f>ROUND(AC68*100,0)</f>
        <v>58078</v>
      </c>
      <c r="AF68" s="16">
        <f>ROUND(AD68*100,0)</f>
        <v>65508</v>
      </c>
      <c r="AG68" s="19" t="str">
        <f>IF(AC68=AD68,"TAM",(CONCATENATE(AE68,"/",AF68)))</f>
        <v>58078/65508</v>
      </c>
      <c r="AH68" s="11" t="s">
        <v>50</v>
      </c>
      <c r="AI68" s="21" t="s">
        <v>50</v>
      </c>
      <c r="AJ68" s="21" t="s">
        <v>232</v>
      </c>
      <c r="AK68" s="54" t="s">
        <v>50</v>
      </c>
      <c r="AL68" s="1" t="s">
        <v>50</v>
      </c>
    </row>
    <row r="69" spans="1:37" ht="22.5" customHeight="1">
      <c r="A69" s="43"/>
      <c r="B69" s="13"/>
      <c r="C69" s="13"/>
      <c r="D69" s="31"/>
      <c r="E69" s="34" t="s">
        <v>230</v>
      </c>
      <c r="F69" s="14"/>
      <c r="G69" s="14"/>
      <c r="H69" s="14"/>
      <c r="I69" s="31"/>
      <c r="J69" s="31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4"/>
      <c r="V69" s="14"/>
      <c r="W69" s="14"/>
      <c r="X69" s="14"/>
      <c r="Y69" s="13"/>
      <c r="Z69" s="44"/>
      <c r="AA69" s="43"/>
      <c r="AB69" s="13"/>
      <c r="AC69" s="13"/>
      <c r="AD69" s="13"/>
      <c r="AE69" s="13"/>
      <c r="AF69" s="13"/>
      <c r="AG69" s="13"/>
      <c r="AH69" s="13"/>
      <c r="AI69" s="13"/>
      <c r="AJ69" s="13"/>
      <c r="AK69" s="44"/>
    </row>
    <row r="70" spans="1:38" ht="12.75" customHeight="1">
      <c r="A70" s="41">
        <v>318</v>
      </c>
      <c r="B70" s="10">
        <v>1100</v>
      </c>
      <c r="C70" s="10" t="s">
        <v>234</v>
      </c>
      <c r="D70" s="16">
        <v>2079.7</v>
      </c>
      <c r="E70" s="20" t="s">
        <v>235</v>
      </c>
      <c r="F70" s="20" t="s">
        <v>236</v>
      </c>
      <c r="G70" s="12">
        <v>3</v>
      </c>
      <c r="H70" s="12">
        <v>14</v>
      </c>
      <c r="I70" s="16">
        <f>ROUND(G70,0)</f>
        <v>3</v>
      </c>
      <c r="J70" s="16">
        <f>ROUND(H70,0)</f>
        <v>14</v>
      </c>
      <c r="K70" s="18" t="str">
        <f>IF(I70=J70,"TAM",(CONCATENATE(G70,"/",H70)))</f>
        <v>3/14</v>
      </c>
      <c r="L70" s="29">
        <f>2079.7*3/14</f>
        <v>445.6499999999999</v>
      </c>
      <c r="M70" s="30">
        <v>0</v>
      </c>
      <c r="N70" s="16" t="str">
        <f>IF(M70=0,"0",(O70*M70))</f>
        <v>0</v>
      </c>
      <c r="O70" s="16">
        <f>IF(W70=1,L70,((D70*G70/H70)-P70)/(1-V70)-S70-T70)</f>
        <v>445.65</v>
      </c>
      <c r="P70" s="16">
        <v>0</v>
      </c>
      <c r="Q70" s="16">
        <f>IF(U70=0,"0",O70*U70)</f>
        <v>149.18242119356023</v>
      </c>
      <c r="R70" s="17">
        <f>IF(U70=0,(((D70*G70/H70)-P70-S70-T70)/(1-V70)),(((D70*G70/H70)-P70-S70-T70)/(1-V70))-((D70*G70/H70)-P70-S70-T70)*U70/(1-V70))</f>
        <v>296.46757880643975</v>
      </c>
      <c r="S70" s="12">
        <v>0</v>
      </c>
      <c r="T70" s="12">
        <v>0</v>
      </c>
      <c r="U70" s="12">
        <v>0.334752431714485</v>
      </c>
      <c r="V70" s="12">
        <v>0</v>
      </c>
      <c r="W70" s="28">
        <f>IF(V70&gt;U70,1,V70)</f>
        <v>0</v>
      </c>
      <c r="X70" s="12">
        <v>1</v>
      </c>
      <c r="Y70" s="16">
        <v>0</v>
      </c>
      <c r="Z70" s="42" t="str">
        <f>IF(OR(W70=1,W70=0),"0",(Q70-N70))</f>
        <v>0</v>
      </c>
      <c r="AA70" s="53" t="s">
        <v>237</v>
      </c>
      <c r="AB70" s="16" t="s">
        <v>239</v>
      </c>
      <c r="AC70" s="16">
        <v>19.78</v>
      </c>
      <c r="AD70" s="16">
        <v>350</v>
      </c>
      <c r="AE70" s="16">
        <f>ROUND(AC70*100,0)</f>
        <v>1978</v>
      </c>
      <c r="AF70" s="16">
        <f>ROUND(AD70*100,0)</f>
        <v>35000</v>
      </c>
      <c r="AG70" s="19" t="str">
        <f>IF(AC70=AD70,"TAM",(CONCATENATE(AE70,"/",AF70)))</f>
        <v>1978/35000</v>
      </c>
      <c r="AH70" s="11" t="s">
        <v>50</v>
      </c>
      <c r="AI70" s="21" t="s">
        <v>50</v>
      </c>
      <c r="AJ70" s="21" t="s">
        <v>238</v>
      </c>
      <c r="AK70" s="54" t="s">
        <v>50</v>
      </c>
      <c r="AL70" s="1" t="s">
        <v>50</v>
      </c>
    </row>
    <row r="71" spans="1:37" ht="12.75" customHeight="1">
      <c r="A71" s="43"/>
      <c r="B71" s="13"/>
      <c r="C71" s="13"/>
      <c r="D71" s="31"/>
      <c r="E71" s="14" t="s">
        <v>50</v>
      </c>
      <c r="F71" s="14"/>
      <c r="G71" s="14"/>
      <c r="H71" s="14"/>
      <c r="I71" s="31"/>
      <c r="J71" s="31"/>
      <c r="K71" s="15"/>
      <c r="L71" s="15"/>
      <c r="M71" s="15"/>
      <c r="N71" s="15"/>
      <c r="O71" s="15"/>
      <c r="P71" s="14"/>
      <c r="Q71" s="14"/>
      <c r="R71" s="14"/>
      <c r="S71" s="14"/>
      <c r="T71" s="14"/>
      <c r="U71" s="14"/>
      <c r="V71" s="14"/>
      <c r="W71" s="14"/>
      <c r="X71" s="14"/>
      <c r="Y71" s="13"/>
      <c r="Z71" s="44"/>
      <c r="AA71" s="43"/>
      <c r="AB71" s="13"/>
      <c r="AC71" s="13"/>
      <c r="AD71" s="13"/>
      <c r="AE71" s="13"/>
      <c r="AF71" s="13"/>
      <c r="AG71" s="13"/>
      <c r="AH71" s="13"/>
      <c r="AI71" s="13"/>
      <c r="AJ71" s="13"/>
      <c r="AK71" s="44"/>
    </row>
    <row r="72" spans="1:38" ht="12.75" customHeight="1">
      <c r="A72" s="41">
        <v>317</v>
      </c>
      <c r="B72" s="10">
        <v>1100</v>
      </c>
      <c r="C72" s="10" t="s">
        <v>240</v>
      </c>
      <c r="D72" s="16">
        <v>2079.7</v>
      </c>
      <c r="E72" s="20" t="s">
        <v>241</v>
      </c>
      <c r="F72" s="20" t="s">
        <v>242</v>
      </c>
      <c r="G72" s="12">
        <v>3</v>
      </c>
      <c r="H72" s="12">
        <v>14</v>
      </c>
      <c r="I72" s="16">
        <f>ROUND(G72,0)</f>
        <v>3</v>
      </c>
      <c r="J72" s="16">
        <f>ROUND(H72,0)</f>
        <v>14</v>
      </c>
      <c r="K72" s="18" t="str">
        <f>IF(I72=J72,"TAM",(CONCATENATE(G72,"/",H72)))</f>
        <v>3/14</v>
      </c>
      <c r="L72" s="29">
        <f>2079.7*3/14</f>
        <v>445.6499999999999</v>
      </c>
      <c r="M72" s="30">
        <v>0</v>
      </c>
      <c r="N72" s="16" t="str">
        <f>IF(M72=0,"0",(O72*M72))</f>
        <v>0</v>
      </c>
      <c r="O72" s="16">
        <f>IF(W72=1,L72,((D72*G72/H72)-P72)/(1-V72)-S72-T72)</f>
        <v>445.65</v>
      </c>
      <c r="P72" s="16">
        <v>0</v>
      </c>
      <c r="Q72" s="16">
        <f>IF(U72=0,"0",O72*U72)</f>
        <v>149.18242119356023</v>
      </c>
      <c r="R72" s="17">
        <f>IF(U72=0,(((D72*G72/H72)-P72-S72-T72)/(1-V72)),(((D72*G72/H72)-P72-S72-T72)/(1-V72))-((D72*G72/H72)-P72-S72-T72)*U72/(1-V72))</f>
        <v>296.46757880643975</v>
      </c>
      <c r="S72" s="12">
        <v>0</v>
      </c>
      <c r="T72" s="12">
        <v>0</v>
      </c>
      <c r="U72" s="12">
        <v>0.334752431714485</v>
      </c>
      <c r="V72" s="12">
        <v>0</v>
      </c>
      <c r="W72" s="28">
        <f>IF(V72&gt;U72,1,V72)</f>
        <v>0</v>
      </c>
      <c r="X72" s="12">
        <v>1</v>
      </c>
      <c r="Y72" s="16">
        <v>0</v>
      </c>
      <c r="Z72" s="42" t="str">
        <f>IF(OR(W72=1,W72=0),"0",(Q72-N72))</f>
        <v>0</v>
      </c>
      <c r="AA72" s="53" t="s">
        <v>243</v>
      </c>
      <c r="AB72" s="16" t="s">
        <v>245</v>
      </c>
      <c r="AC72" s="16">
        <v>19.78</v>
      </c>
      <c r="AD72" s="16">
        <v>350</v>
      </c>
      <c r="AE72" s="16">
        <f>ROUND(AC72*100,0)</f>
        <v>1978</v>
      </c>
      <c r="AF72" s="16">
        <f>ROUND(AD72*100,0)</f>
        <v>35000</v>
      </c>
      <c r="AG72" s="19" t="str">
        <f>IF(AC72=AD72,"TAM",(CONCATENATE(AE72,"/",AF72)))</f>
        <v>1978/35000</v>
      </c>
      <c r="AH72" s="11" t="s">
        <v>50</v>
      </c>
      <c r="AI72" s="21" t="s">
        <v>50</v>
      </c>
      <c r="AJ72" s="21" t="s">
        <v>244</v>
      </c>
      <c r="AK72" s="54" t="s">
        <v>50</v>
      </c>
      <c r="AL72" s="1" t="s">
        <v>50</v>
      </c>
    </row>
    <row r="73" spans="1:37" ht="12.75" customHeight="1">
      <c r="A73" s="43"/>
      <c r="B73" s="13"/>
      <c r="C73" s="13"/>
      <c r="D73" s="31"/>
      <c r="E73" s="14" t="s">
        <v>50</v>
      </c>
      <c r="F73" s="14"/>
      <c r="G73" s="14"/>
      <c r="H73" s="14"/>
      <c r="I73" s="31"/>
      <c r="J73" s="31"/>
      <c r="K73" s="15"/>
      <c r="L73" s="15"/>
      <c r="M73" s="15"/>
      <c r="N73" s="15"/>
      <c r="O73" s="15"/>
      <c r="P73" s="14"/>
      <c r="Q73" s="14"/>
      <c r="R73" s="14"/>
      <c r="S73" s="14"/>
      <c r="T73" s="14"/>
      <c r="U73" s="14"/>
      <c r="V73" s="14"/>
      <c r="W73" s="14"/>
      <c r="X73" s="14"/>
      <c r="Y73" s="13"/>
      <c r="Z73" s="44"/>
      <c r="AA73" s="43"/>
      <c r="AB73" s="13"/>
      <c r="AC73" s="13"/>
      <c r="AD73" s="13"/>
      <c r="AE73" s="13"/>
      <c r="AF73" s="13"/>
      <c r="AG73" s="13"/>
      <c r="AH73" s="13"/>
      <c r="AI73" s="13"/>
      <c r="AJ73" s="13"/>
      <c r="AK73" s="44"/>
    </row>
    <row r="74" spans="1:38" ht="12.75" customHeight="1">
      <c r="A74" s="41">
        <v>316</v>
      </c>
      <c r="B74" s="10">
        <v>1100</v>
      </c>
      <c r="C74" s="10" t="s">
        <v>246</v>
      </c>
      <c r="D74" s="16">
        <v>2079.7</v>
      </c>
      <c r="E74" s="20" t="s">
        <v>247</v>
      </c>
      <c r="F74" s="20" t="s">
        <v>248</v>
      </c>
      <c r="G74" s="12">
        <v>8</v>
      </c>
      <c r="H74" s="12">
        <v>14</v>
      </c>
      <c r="I74" s="16">
        <f>ROUND(G74,0)</f>
        <v>8</v>
      </c>
      <c r="J74" s="16">
        <f>ROUND(H74,0)</f>
        <v>14</v>
      </c>
      <c r="K74" s="18" t="str">
        <f>IF(I74=J74,"TAM",(CONCATENATE(G74,"/",H74)))</f>
        <v>8/14</v>
      </c>
      <c r="L74" s="29">
        <f>2079.7*8/14</f>
        <v>1188.3999999999999</v>
      </c>
      <c r="M74" s="30">
        <v>0</v>
      </c>
      <c r="N74" s="16" t="str">
        <f>IF(M74=0,"0",(O74*M74))</f>
        <v>0</v>
      </c>
      <c r="O74" s="16">
        <f>IF(W74=1,L74,((D74*G74/H74)-P74)/(1-V74)-S74-T74)</f>
        <v>1188.3999999999999</v>
      </c>
      <c r="P74" s="16">
        <v>0</v>
      </c>
      <c r="Q74" s="16">
        <f>IF(U74=0,"0",O74*U74)</f>
        <v>397.81978984949393</v>
      </c>
      <c r="R74" s="17">
        <f>IF(U74=0,(((D74*G74/H74)-P74-S74-T74)/(1-V74)),(((D74*G74/H74)-P74-S74-T74)/(1-V74))-((D74*G74/H74)-P74-S74-T74)*U74/(1-V74))</f>
        <v>790.580210150506</v>
      </c>
      <c r="S74" s="12">
        <v>0</v>
      </c>
      <c r="T74" s="12">
        <v>0</v>
      </c>
      <c r="U74" s="12">
        <v>0.334752431714485</v>
      </c>
      <c r="V74" s="12">
        <v>0</v>
      </c>
      <c r="W74" s="28">
        <f>IF(V74&gt;U74,1,V74)</f>
        <v>0</v>
      </c>
      <c r="X74" s="12">
        <v>1</v>
      </c>
      <c r="Y74" s="16">
        <v>0</v>
      </c>
      <c r="Z74" s="42" t="str">
        <f>IF(OR(W74=1,W74=0),"0",(Q74-N74))</f>
        <v>0</v>
      </c>
      <c r="AA74" s="53" t="s">
        <v>249</v>
      </c>
      <c r="AB74" s="16" t="s">
        <v>251</v>
      </c>
      <c r="AC74" s="16">
        <v>52.74</v>
      </c>
      <c r="AD74" s="16">
        <v>350</v>
      </c>
      <c r="AE74" s="16">
        <f>ROUND(AC74*100,0)</f>
        <v>5274</v>
      </c>
      <c r="AF74" s="16">
        <f>ROUND(AD74*100,0)</f>
        <v>35000</v>
      </c>
      <c r="AG74" s="19" t="str">
        <f>IF(AC74=AD74,"TAM",(CONCATENATE(AE74,"/",AF74)))</f>
        <v>5274/35000</v>
      </c>
      <c r="AH74" s="11" t="s">
        <v>50</v>
      </c>
      <c r="AI74" s="21" t="s">
        <v>50</v>
      </c>
      <c r="AJ74" s="21" t="s">
        <v>250</v>
      </c>
      <c r="AK74" s="54" t="s">
        <v>50</v>
      </c>
      <c r="AL74" s="1" t="s">
        <v>50</v>
      </c>
    </row>
    <row r="75" spans="1:37" ht="12.75" customHeight="1">
      <c r="A75" s="43"/>
      <c r="B75" s="13"/>
      <c r="C75" s="13"/>
      <c r="D75" s="31"/>
      <c r="E75" s="14" t="s">
        <v>50</v>
      </c>
      <c r="F75" s="14"/>
      <c r="G75" s="14"/>
      <c r="H75" s="14"/>
      <c r="I75" s="31"/>
      <c r="J75" s="31"/>
      <c r="K75" s="15"/>
      <c r="L75" s="15"/>
      <c r="M75" s="15"/>
      <c r="N75" s="15"/>
      <c r="O75" s="15"/>
      <c r="P75" s="14"/>
      <c r="Q75" s="14"/>
      <c r="R75" s="14"/>
      <c r="S75" s="14"/>
      <c r="T75" s="14"/>
      <c r="U75" s="14"/>
      <c r="V75" s="14"/>
      <c r="W75" s="14"/>
      <c r="X75" s="14"/>
      <c r="Y75" s="13"/>
      <c r="Z75" s="44"/>
      <c r="AA75" s="43"/>
      <c r="AB75" s="13"/>
      <c r="AC75" s="13"/>
      <c r="AD75" s="13"/>
      <c r="AE75" s="13"/>
      <c r="AF75" s="13"/>
      <c r="AG75" s="13"/>
      <c r="AH75" s="13"/>
      <c r="AI75" s="13"/>
      <c r="AJ75" s="13"/>
      <c r="AK75" s="44"/>
    </row>
    <row r="76" spans="1:38" ht="12.75" customHeight="1">
      <c r="A76" s="41">
        <v>516</v>
      </c>
      <c r="B76" s="10">
        <v>1291</v>
      </c>
      <c r="C76" s="10" t="s">
        <v>252</v>
      </c>
      <c r="D76" s="16">
        <v>1080.92</v>
      </c>
      <c r="E76" s="20" t="s">
        <v>253</v>
      </c>
      <c r="F76" s="20" t="s">
        <v>254</v>
      </c>
      <c r="G76" s="12">
        <v>1</v>
      </c>
      <c r="H76" s="12">
        <v>1</v>
      </c>
      <c r="I76" s="16">
        <f>ROUND(G76,0)</f>
        <v>1</v>
      </c>
      <c r="J76" s="16">
        <f>ROUND(H76,0)</f>
        <v>1</v>
      </c>
      <c r="K76" s="18" t="str">
        <f>IF(I76=J76,"TAM",(CONCATENATE(G76,"/",H76)))</f>
        <v>TAM</v>
      </c>
      <c r="L76" s="29">
        <f>1080.92*1/1</f>
        <v>1080.92</v>
      </c>
      <c r="M76" s="30">
        <v>0</v>
      </c>
      <c r="N76" s="16" t="str">
        <f>IF(M76=0,"0",(O76*M76))</f>
        <v>0</v>
      </c>
      <c r="O76" s="16">
        <f>IF(W76=1,L76,((D76*G76/H76)-P76)/(1-V76)-S76-T76)</f>
        <v>1080.92</v>
      </c>
      <c r="P76" s="16">
        <v>0</v>
      </c>
      <c r="Q76" s="16">
        <f>IF(U76=0,"0",O76*U76)</f>
        <v>361.8405984888211</v>
      </c>
      <c r="R76" s="17">
        <f>IF(U76=0,(((D76*G76/H76)-P76-S76-T76)/(1-V76)),(((D76*G76/H76)-P76-S76-T76)/(1-V76))-((D76*G76/H76)-P76-S76-T76)*U76/(1-V76))</f>
        <v>719.079401511179</v>
      </c>
      <c r="S76" s="12">
        <v>0</v>
      </c>
      <c r="T76" s="12">
        <v>0</v>
      </c>
      <c r="U76" s="12">
        <v>0.334752431714485</v>
      </c>
      <c r="V76" s="12">
        <v>0</v>
      </c>
      <c r="W76" s="28">
        <f>IF(V76&gt;U76,1,V76)</f>
        <v>0</v>
      </c>
      <c r="X76" s="12">
        <v>1</v>
      </c>
      <c r="Y76" s="16">
        <v>0</v>
      </c>
      <c r="Z76" s="42" t="str">
        <f>IF(OR(W76=1,W76=0),"0",(Q76-N76))</f>
        <v>0</v>
      </c>
      <c r="AA76" s="53" t="s">
        <v>255</v>
      </c>
      <c r="AB76" s="16" t="s">
        <v>257</v>
      </c>
      <c r="AC76" s="16">
        <v>257.7</v>
      </c>
      <c r="AD76" s="16">
        <v>350</v>
      </c>
      <c r="AE76" s="16">
        <f>ROUND(AC76*100,0)</f>
        <v>25770</v>
      </c>
      <c r="AF76" s="16">
        <f>ROUND(AD76*100,0)</f>
        <v>35000</v>
      </c>
      <c r="AG76" s="19" t="str">
        <f>IF(AC76=AD76,"TAM",(CONCATENATE(AE76,"/",AF76)))</f>
        <v>25770/35000</v>
      </c>
      <c r="AH76" s="11" t="s">
        <v>50</v>
      </c>
      <c r="AI76" s="21" t="s">
        <v>50</v>
      </c>
      <c r="AJ76" s="21" t="s">
        <v>256</v>
      </c>
      <c r="AK76" s="54" t="s">
        <v>50</v>
      </c>
      <c r="AL76" s="1" t="s">
        <v>50</v>
      </c>
    </row>
    <row r="77" spans="1:37" ht="12.75" customHeight="1">
      <c r="A77" s="43"/>
      <c r="B77" s="13"/>
      <c r="C77" s="13"/>
      <c r="D77" s="31"/>
      <c r="E77" s="14" t="s">
        <v>50</v>
      </c>
      <c r="F77" s="14"/>
      <c r="G77" s="14"/>
      <c r="H77" s="14"/>
      <c r="I77" s="31"/>
      <c r="J77" s="31"/>
      <c r="K77" s="15"/>
      <c r="L77" s="15"/>
      <c r="M77" s="15"/>
      <c r="N77" s="15"/>
      <c r="O77" s="15"/>
      <c r="P77" s="14"/>
      <c r="Q77" s="14"/>
      <c r="R77" s="14"/>
      <c r="S77" s="14"/>
      <c r="T77" s="14"/>
      <c r="U77" s="14"/>
      <c r="V77" s="14"/>
      <c r="W77" s="14"/>
      <c r="X77" s="14"/>
      <c r="Y77" s="13"/>
      <c r="Z77" s="44"/>
      <c r="AA77" s="43"/>
      <c r="AB77" s="13"/>
      <c r="AC77" s="13"/>
      <c r="AD77" s="13"/>
      <c r="AE77" s="13"/>
      <c r="AF77" s="13"/>
      <c r="AG77" s="13"/>
      <c r="AH77" s="13"/>
      <c r="AI77" s="13"/>
      <c r="AJ77" s="13"/>
      <c r="AK77" s="44"/>
    </row>
    <row r="78" spans="1:38" ht="12.75" customHeight="1">
      <c r="A78" s="41">
        <v>516</v>
      </c>
      <c r="B78" s="10">
        <v>1291</v>
      </c>
      <c r="C78" s="10" t="s">
        <v>258</v>
      </c>
      <c r="D78" s="16">
        <v>1080.92</v>
      </c>
      <c r="E78" s="20" t="s">
        <v>259</v>
      </c>
      <c r="F78" s="20" t="s">
        <v>260</v>
      </c>
      <c r="G78" s="12">
        <v>1</v>
      </c>
      <c r="H78" s="12">
        <v>1</v>
      </c>
      <c r="I78" s="16">
        <f>ROUND(G78,0)</f>
        <v>1</v>
      </c>
      <c r="J78" s="16">
        <f>ROUND(H78,0)</f>
        <v>1</v>
      </c>
      <c r="K78" s="18" t="str">
        <f>IF(I78=J78,"TAM",(CONCATENATE(G78,"/",H78)))</f>
        <v>TAM</v>
      </c>
      <c r="L78" s="29">
        <f>1080.92*1/1</f>
        <v>1080.92</v>
      </c>
      <c r="M78" s="30">
        <v>0</v>
      </c>
      <c r="N78" s="16" t="str">
        <f>IF(M78=0,"0",(O78*M78))</f>
        <v>0</v>
      </c>
      <c r="O78" s="16">
        <f>IF(W78=1,L78,((D78*G78/H78)-P78)/(1-V78)-S78-T78)</f>
        <v>1080.92</v>
      </c>
      <c r="P78" s="16">
        <v>0</v>
      </c>
      <c r="Q78" s="16">
        <f>IF(U78=0,"0",O78*U78)</f>
        <v>361.8405984888211</v>
      </c>
      <c r="R78" s="17">
        <f>IF(U78=0,(((D78*G78/H78)-P78-S78-T78)/(1-V78)),(((D78*G78/H78)-P78-S78-T78)/(1-V78))-((D78*G78/H78)-P78-S78-T78)*U78/(1-V78))</f>
        <v>719.079401511179</v>
      </c>
      <c r="S78" s="12">
        <v>0</v>
      </c>
      <c r="T78" s="12">
        <v>0</v>
      </c>
      <c r="U78" s="12">
        <v>0.334752431714485</v>
      </c>
      <c r="V78" s="12">
        <v>0</v>
      </c>
      <c r="W78" s="28">
        <f>IF(V78&gt;U78,1,V78)</f>
        <v>0</v>
      </c>
      <c r="X78" s="12">
        <v>1</v>
      </c>
      <c r="Y78" s="16">
        <v>0</v>
      </c>
      <c r="Z78" s="42" t="str">
        <f>IF(OR(W78=1,W78=0),"0",(Q78-N78))</f>
        <v>0</v>
      </c>
      <c r="AA78" s="53" t="s">
        <v>261</v>
      </c>
      <c r="AB78" s="16" t="s">
        <v>262</v>
      </c>
      <c r="AC78" s="16">
        <v>461.38</v>
      </c>
      <c r="AD78" s="16">
        <v>461.38</v>
      </c>
      <c r="AE78" s="16">
        <f>ROUND(AC78*100,0)</f>
        <v>46138</v>
      </c>
      <c r="AF78" s="16">
        <f>ROUND(AD78*100,0)</f>
        <v>46138</v>
      </c>
      <c r="AG78" s="19" t="str">
        <f>IF(AC78=AD78,"TAM",(CONCATENATE(AE78,"/",AF78)))</f>
        <v>TAM</v>
      </c>
      <c r="AH78" s="11" t="s">
        <v>50</v>
      </c>
      <c r="AI78" s="21" t="s">
        <v>50</v>
      </c>
      <c r="AJ78" s="71" t="s">
        <v>2425</v>
      </c>
      <c r="AK78" s="54" t="s">
        <v>50</v>
      </c>
      <c r="AL78" s="1" t="s">
        <v>50</v>
      </c>
    </row>
    <row r="79" spans="1:37" ht="12.75" customHeight="1">
      <c r="A79" s="43"/>
      <c r="B79" s="13"/>
      <c r="C79" s="13"/>
      <c r="D79" s="31"/>
      <c r="E79" s="14" t="s">
        <v>50</v>
      </c>
      <c r="F79" s="14"/>
      <c r="G79" s="14"/>
      <c r="H79" s="14"/>
      <c r="I79" s="31"/>
      <c r="J79" s="31"/>
      <c r="K79" s="15"/>
      <c r="L79" s="15"/>
      <c r="M79" s="15"/>
      <c r="N79" s="15"/>
      <c r="O79" s="15"/>
      <c r="P79" s="14"/>
      <c r="Q79" s="14"/>
      <c r="R79" s="14"/>
      <c r="S79" s="14"/>
      <c r="T79" s="14"/>
      <c r="U79" s="14"/>
      <c r="V79" s="14"/>
      <c r="W79" s="14"/>
      <c r="X79" s="14"/>
      <c r="Y79" s="13"/>
      <c r="Z79" s="44"/>
      <c r="AA79" s="43"/>
      <c r="AB79" s="13"/>
      <c r="AC79" s="13"/>
      <c r="AD79" s="13"/>
      <c r="AE79" s="13"/>
      <c r="AF79" s="13"/>
      <c r="AG79" s="13"/>
      <c r="AH79" s="13"/>
      <c r="AI79" s="13"/>
      <c r="AJ79" s="72"/>
      <c r="AK79" s="44"/>
    </row>
    <row r="80" spans="1:38" ht="12.75" customHeight="1">
      <c r="A80" s="41">
        <v>318</v>
      </c>
      <c r="B80" s="10">
        <v>1100</v>
      </c>
      <c r="C80" s="10" t="s">
        <v>263</v>
      </c>
      <c r="D80" s="16">
        <v>2079.7</v>
      </c>
      <c r="E80" s="20" t="s">
        <v>264</v>
      </c>
      <c r="F80" s="20" t="s">
        <v>265</v>
      </c>
      <c r="G80" s="12">
        <v>3</v>
      </c>
      <c r="H80" s="12">
        <v>14</v>
      </c>
      <c r="I80" s="16">
        <f>ROUND(G80,0)</f>
        <v>3</v>
      </c>
      <c r="J80" s="16">
        <f>ROUND(H80,0)</f>
        <v>14</v>
      </c>
      <c r="K80" s="18" t="str">
        <f>IF(I80=J80,"TAM",(CONCATENATE(G80,"/",H80)))</f>
        <v>3/14</v>
      </c>
      <c r="L80" s="29">
        <f>2079.7*3/14</f>
        <v>445.6499999999999</v>
      </c>
      <c r="M80" s="30">
        <v>0</v>
      </c>
      <c r="N80" s="16" t="str">
        <f>IF(M80=0,"0",(O80*M80))</f>
        <v>0</v>
      </c>
      <c r="O80" s="16">
        <f>IF(W80=1,L80,((D80*G80/H80)-P80)/(1-V80)-S80-T80)</f>
        <v>445.65</v>
      </c>
      <c r="P80" s="16">
        <v>0</v>
      </c>
      <c r="Q80" s="16">
        <f>IF(U80=0,"0",O80*U80)</f>
        <v>149.18242119356023</v>
      </c>
      <c r="R80" s="17">
        <f>IF(U80=0,(((D80*G80/H80)-P80-S80-T80)/(1-V80)),(((D80*G80/H80)-P80-S80-T80)/(1-V80))-((D80*G80/H80)-P80-S80-T80)*U80/(1-V80))</f>
        <v>296.46757880643975</v>
      </c>
      <c r="S80" s="12">
        <v>0</v>
      </c>
      <c r="T80" s="12">
        <v>0</v>
      </c>
      <c r="U80" s="12">
        <v>0.334752431714485</v>
      </c>
      <c r="V80" s="12">
        <v>0</v>
      </c>
      <c r="W80" s="28">
        <f>IF(V80&gt;U80,1,V80)</f>
        <v>0</v>
      </c>
      <c r="X80" s="12">
        <v>1</v>
      </c>
      <c r="Y80" s="16">
        <v>0</v>
      </c>
      <c r="Z80" s="42" t="str">
        <f>IF(OR(W80=1,W80=0),"0",(Q80-N80))</f>
        <v>0</v>
      </c>
      <c r="AA80" s="53" t="s">
        <v>266</v>
      </c>
      <c r="AB80" s="16" t="s">
        <v>267</v>
      </c>
      <c r="AC80" s="16">
        <v>7.63</v>
      </c>
      <c r="AD80" s="16">
        <v>671.23</v>
      </c>
      <c r="AE80" s="16">
        <f>ROUND(AC80*100,0)</f>
        <v>763</v>
      </c>
      <c r="AF80" s="16">
        <f>ROUND(AD80*100,0)</f>
        <v>67123</v>
      </c>
      <c r="AG80" s="19" t="str">
        <f>IF(AC80=AD80,"TAM",(CONCATENATE(AE80,"/",AF80)))</f>
        <v>763/67123</v>
      </c>
      <c r="AH80" s="11" t="s">
        <v>50</v>
      </c>
      <c r="AI80" s="21" t="s">
        <v>50</v>
      </c>
      <c r="AJ80" s="71" t="s">
        <v>2426</v>
      </c>
      <c r="AK80" s="54" t="s">
        <v>50</v>
      </c>
      <c r="AL80" s="1" t="s">
        <v>50</v>
      </c>
    </row>
    <row r="81" spans="1:37" ht="12.75" customHeight="1">
      <c r="A81" s="43"/>
      <c r="B81" s="13"/>
      <c r="C81" s="13"/>
      <c r="D81" s="31"/>
      <c r="E81" s="14" t="s">
        <v>50</v>
      </c>
      <c r="F81" s="14"/>
      <c r="G81" s="14"/>
      <c r="H81" s="14"/>
      <c r="I81" s="31"/>
      <c r="J81" s="31"/>
      <c r="K81" s="15"/>
      <c r="L81" s="15"/>
      <c r="M81" s="15"/>
      <c r="N81" s="15"/>
      <c r="O81" s="15"/>
      <c r="P81" s="14"/>
      <c r="Q81" s="14"/>
      <c r="R81" s="14"/>
      <c r="S81" s="14"/>
      <c r="T81" s="14"/>
      <c r="U81" s="14"/>
      <c r="V81" s="14"/>
      <c r="W81" s="14"/>
      <c r="X81" s="14"/>
      <c r="Y81" s="13"/>
      <c r="Z81" s="44"/>
      <c r="AA81" s="43"/>
      <c r="AB81" s="13"/>
      <c r="AC81" s="13"/>
      <c r="AD81" s="13"/>
      <c r="AE81" s="13"/>
      <c r="AF81" s="13"/>
      <c r="AG81" s="13"/>
      <c r="AH81" s="13"/>
      <c r="AI81" s="13"/>
      <c r="AJ81" s="72"/>
      <c r="AK81" s="44"/>
    </row>
    <row r="82" spans="1:38" ht="12.75" customHeight="1">
      <c r="A82" s="41">
        <v>317</v>
      </c>
      <c r="B82" s="10">
        <v>1100</v>
      </c>
      <c r="C82" s="10" t="s">
        <v>268</v>
      </c>
      <c r="D82" s="16">
        <v>2079.7</v>
      </c>
      <c r="E82" s="20" t="s">
        <v>269</v>
      </c>
      <c r="F82" s="20" t="s">
        <v>270</v>
      </c>
      <c r="G82" s="12">
        <v>3</v>
      </c>
      <c r="H82" s="12">
        <v>14</v>
      </c>
      <c r="I82" s="16">
        <f>ROUND(G82,0)</f>
        <v>3</v>
      </c>
      <c r="J82" s="16">
        <f>ROUND(H82,0)</f>
        <v>14</v>
      </c>
      <c r="K82" s="18" t="str">
        <f>IF(I82=J82,"TAM",(CONCATENATE(G82,"/",H82)))</f>
        <v>3/14</v>
      </c>
      <c r="L82" s="29">
        <f>2079.7*3/14</f>
        <v>445.6499999999999</v>
      </c>
      <c r="M82" s="30">
        <v>0</v>
      </c>
      <c r="N82" s="16" t="str">
        <f>IF(M82=0,"0",(O82*M82))</f>
        <v>0</v>
      </c>
      <c r="O82" s="16">
        <f>IF(W82=1,L82,((D82*G82/H82)-P82)/(1-V82)-S82-T82)</f>
        <v>445.65</v>
      </c>
      <c r="P82" s="16">
        <v>0</v>
      </c>
      <c r="Q82" s="16">
        <f>IF(U82=0,"0",O82*U82)</f>
        <v>149.18242119356023</v>
      </c>
      <c r="R82" s="17">
        <f>IF(U82=0,(((D82*G82/H82)-P82-S82-T82)/(1-V82)),(((D82*G82/H82)-P82-S82-T82)/(1-V82))-((D82*G82/H82)-P82-S82-T82)*U82/(1-V82))</f>
        <v>296.46757880643975</v>
      </c>
      <c r="S82" s="12">
        <v>0</v>
      </c>
      <c r="T82" s="12">
        <v>0</v>
      </c>
      <c r="U82" s="12">
        <v>0.334752431714485</v>
      </c>
      <c r="V82" s="12">
        <v>0</v>
      </c>
      <c r="W82" s="28">
        <f>IF(V82&gt;U82,1,V82)</f>
        <v>0</v>
      </c>
      <c r="X82" s="12">
        <v>1</v>
      </c>
      <c r="Y82" s="16">
        <v>0</v>
      </c>
      <c r="Z82" s="42" t="str">
        <f>IF(OR(W82=1,W82=0),"0",(Q82-N82))</f>
        <v>0</v>
      </c>
      <c r="AA82" s="53" t="s">
        <v>271</v>
      </c>
      <c r="AB82" s="16" t="s">
        <v>272</v>
      </c>
      <c r="AC82" s="16">
        <v>7.63</v>
      </c>
      <c r="AD82" s="16">
        <v>671.23</v>
      </c>
      <c r="AE82" s="16">
        <f>ROUND(AC82*100,0)</f>
        <v>763</v>
      </c>
      <c r="AF82" s="16">
        <f>ROUND(AD82*100,0)</f>
        <v>67123</v>
      </c>
      <c r="AG82" s="19" t="str">
        <f>IF(AC82=AD82,"TAM",(CONCATENATE(AE82,"/",AF82)))</f>
        <v>763/67123</v>
      </c>
      <c r="AH82" s="11" t="s">
        <v>50</v>
      </c>
      <c r="AI82" s="21" t="s">
        <v>50</v>
      </c>
      <c r="AJ82" s="71" t="s">
        <v>2426</v>
      </c>
      <c r="AK82" s="54" t="s">
        <v>50</v>
      </c>
      <c r="AL82" s="1" t="s">
        <v>50</v>
      </c>
    </row>
    <row r="83" spans="1:37" ht="12.75" customHeight="1">
      <c r="A83" s="43"/>
      <c r="B83" s="13"/>
      <c r="C83" s="13"/>
      <c r="D83" s="31"/>
      <c r="E83" s="14" t="s">
        <v>50</v>
      </c>
      <c r="F83" s="14"/>
      <c r="G83" s="14"/>
      <c r="H83" s="14"/>
      <c r="I83" s="31"/>
      <c r="J83" s="31"/>
      <c r="K83" s="15"/>
      <c r="L83" s="15"/>
      <c r="M83" s="15"/>
      <c r="N83" s="15"/>
      <c r="O83" s="15"/>
      <c r="P83" s="14"/>
      <c r="Q83" s="14"/>
      <c r="R83" s="14"/>
      <c r="S83" s="14"/>
      <c r="T83" s="14"/>
      <c r="U83" s="14"/>
      <c r="V83" s="14"/>
      <c r="W83" s="14"/>
      <c r="X83" s="14"/>
      <c r="Y83" s="13"/>
      <c r="Z83" s="44"/>
      <c r="AA83" s="43"/>
      <c r="AB83" s="13"/>
      <c r="AC83" s="13"/>
      <c r="AD83" s="13"/>
      <c r="AE83" s="13"/>
      <c r="AF83" s="13"/>
      <c r="AG83" s="13"/>
      <c r="AH83" s="13"/>
      <c r="AI83" s="13"/>
      <c r="AJ83" s="72"/>
      <c r="AK83" s="44"/>
    </row>
    <row r="84" spans="1:38" ht="12.75" customHeight="1">
      <c r="A84" s="41">
        <v>316</v>
      </c>
      <c r="B84" s="10">
        <v>1100</v>
      </c>
      <c r="C84" s="10" t="s">
        <v>273</v>
      </c>
      <c r="D84" s="16">
        <v>2079.7</v>
      </c>
      <c r="E84" s="20" t="s">
        <v>274</v>
      </c>
      <c r="F84" s="20" t="s">
        <v>275</v>
      </c>
      <c r="G84" s="12">
        <v>8</v>
      </c>
      <c r="H84" s="12">
        <v>14</v>
      </c>
      <c r="I84" s="16">
        <f>ROUND(G84,0)</f>
        <v>8</v>
      </c>
      <c r="J84" s="16">
        <f>ROUND(H84,0)</f>
        <v>14</v>
      </c>
      <c r="K84" s="18" t="str">
        <f>IF(I84=J84,"TAM",(CONCATENATE(G84,"/",H84)))</f>
        <v>8/14</v>
      </c>
      <c r="L84" s="29">
        <f>2079.7*8/14</f>
        <v>1188.3999999999999</v>
      </c>
      <c r="M84" s="30">
        <v>0</v>
      </c>
      <c r="N84" s="16" t="str">
        <f>IF(M84=0,"0",(O84*M84))</f>
        <v>0</v>
      </c>
      <c r="O84" s="16">
        <f>IF(W84=1,L84,((D84*G84/H84)-P84)/(1-V84)-S84-T84)</f>
        <v>1188.3999999999999</v>
      </c>
      <c r="P84" s="16">
        <v>0</v>
      </c>
      <c r="Q84" s="16">
        <f>IF(U84=0,"0",O84*U84)</f>
        <v>397.81978984949393</v>
      </c>
      <c r="R84" s="17">
        <f>IF(U84=0,(((D84*G84/H84)-P84-S84-T84)/(1-V84)),(((D84*G84/H84)-P84-S84-T84)/(1-V84))-((D84*G84/H84)-P84-S84-T84)*U84/(1-V84))</f>
        <v>790.580210150506</v>
      </c>
      <c r="S84" s="12">
        <v>0</v>
      </c>
      <c r="T84" s="12">
        <v>0</v>
      </c>
      <c r="U84" s="12">
        <v>0.334752431714485</v>
      </c>
      <c r="V84" s="12">
        <v>0</v>
      </c>
      <c r="W84" s="28">
        <f>IF(V84&gt;U84,1,V84)</f>
        <v>0</v>
      </c>
      <c r="X84" s="12">
        <v>1</v>
      </c>
      <c r="Y84" s="16">
        <v>0</v>
      </c>
      <c r="Z84" s="42" t="str">
        <f>IF(OR(W84=1,W84=0),"0",(Q84-N84))</f>
        <v>0</v>
      </c>
      <c r="AA84" s="53" t="s">
        <v>276</v>
      </c>
      <c r="AB84" s="16" t="s">
        <v>277</v>
      </c>
      <c r="AC84" s="16">
        <v>20.34</v>
      </c>
      <c r="AD84" s="16">
        <v>671.23</v>
      </c>
      <c r="AE84" s="16">
        <f>ROUND(AC84*100,0)</f>
        <v>2034</v>
      </c>
      <c r="AF84" s="16">
        <f>ROUND(AD84*100,0)</f>
        <v>67123</v>
      </c>
      <c r="AG84" s="19" t="str">
        <f>IF(AC84=AD84,"TAM",(CONCATENATE(AE84,"/",AF84)))</f>
        <v>2034/67123</v>
      </c>
      <c r="AH84" s="11" t="s">
        <v>50</v>
      </c>
      <c r="AI84" s="21" t="s">
        <v>50</v>
      </c>
      <c r="AJ84" s="71" t="s">
        <v>2426</v>
      </c>
      <c r="AK84" s="54" t="s">
        <v>50</v>
      </c>
      <c r="AL84" s="1" t="s">
        <v>50</v>
      </c>
    </row>
    <row r="85" spans="1:37" ht="12.75" customHeight="1">
      <c r="A85" s="43"/>
      <c r="B85" s="13"/>
      <c r="C85" s="13"/>
      <c r="D85" s="31"/>
      <c r="E85" s="14" t="s">
        <v>50</v>
      </c>
      <c r="F85" s="14"/>
      <c r="G85" s="14"/>
      <c r="H85" s="14"/>
      <c r="I85" s="31"/>
      <c r="J85" s="31"/>
      <c r="K85" s="15"/>
      <c r="L85" s="15"/>
      <c r="M85" s="15"/>
      <c r="N85" s="15"/>
      <c r="O85" s="15"/>
      <c r="P85" s="14"/>
      <c r="Q85" s="14"/>
      <c r="R85" s="14"/>
      <c r="S85" s="14"/>
      <c r="T85" s="14"/>
      <c r="U85" s="14"/>
      <c r="V85" s="14"/>
      <c r="W85" s="14"/>
      <c r="X85" s="14"/>
      <c r="Y85" s="13"/>
      <c r="Z85" s="44"/>
      <c r="AA85" s="43"/>
      <c r="AB85" s="13"/>
      <c r="AC85" s="13"/>
      <c r="AD85" s="13"/>
      <c r="AE85" s="13"/>
      <c r="AF85" s="13"/>
      <c r="AG85" s="13"/>
      <c r="AH85" s="13"/>
      <c r="AI85" s="13"/>
      <c r="AJ85" s="72"/>
      <c r="AK85" s="44"/>
    </row>
    <row r="86" spans="1:38" ht="12.75" customHeight="1">
      <c r="A86" s="41">
        <v>419</v>
      </c>
      <c r="B86" s="10">
        <v>1117</v>
      </c>
      <c r="C86" s="10" t="s">
        <v>278</v>
      </c>
      <c r="D86" s="16">
        <v>235.14</v>
      </c>
      <c r="E86" s="20" t="s">
        <v>279</v>
      </c>
      <c r="F86" s="20" t="s">
        <v>280</v>
      </c>
      <c r="G86" s="12">
        <v>1</v>
      </c>
      <c r="H86" s="12">
        <v>1</v>
      </c>
      <c r="I86" s="16">
        <f>ROUND(G86,0)</f>
        <v>1</v>
      </c>
      <c r="J86" s="16">
        <f>ROUND(H86,0)</f>
        <v>1</v>
      </c>
      <c r="K86" s="18" t="str">
        <f>IF(I86=J86,"TAM",(CONCATENATE(G86,"/",H86)))</f>
        <v>TAM</v>
      </c>
      <c r="L86" s="29">
        <f>235.14*1/1</f>
        <v>235.14</v>
      </c>
      <c r="M86" s="30">
        <v>0</v>
      </c>
      <c r="N86" s="16" t="str">
        <f>IF(M86=0,"0",(O86*M86))</f>
        <v>0</v>
      </c>
      <c r="O86" s="16">
        <f>IF(W86=1,L86,((D86*G86/H86)-P86)/(1-V86)-S86-T86)</f>
        <v>235.14</v>
      </c>
      <c r="P86" s="16">
        <v>0</v>
      </c>
      <c r="Q86" s="16">
        <f>IF(U86=0,"0",O86*U86)</f>
        <v>78.713686793344</v>
      </c>
      <c r="R86" s="17">
        <f>IF(U86=0,(((D86*G86/H86)-P86-S86-T86)/(1-V86)),(((D86*G86/H86)-P86-S86-T86)/(1-V86))-((D86*G86/H86)-P86-S86-T86)*U86/(1-V86))</f>
        <v>156.426313206656</v>
      </c>
      <c r="S86" s="12">
        <v>0</v>
      </c>
      <c r="T86" s="12">
        <v>0</v>
      </c>
      <c r="U86" s="12">
        <v>0.334752431714485</v>
      </c>
      <c r="V86" s="12">
        <v>0</v>
      </c>
      <c r="W86" s="28">
        <f>IF(V86&gt;U86,1,V86)</f>
        <v>0</v>
      </c>
      <c r="X86" s="12">
        <v>1</v>
      </c>
      <c r="Y86" s="16">
        <v>0</v>
      </c>
      <c r="Z86" s="42" t="str">
        <f>IF(OR(W86=1,W86=0),"0",(Q86-N86))</f>
        <v>0</v>
      </c>
      <c r="AA86" s="53" t="s">
        <v>281</v>
      </c>
      <c r="AB86" s="16" t="s">
        <v>282</v>
      </c>
      <c r="AC86" s="16">
        <v>156.43</v>
      </c>
      <c r="AD86" s="16">
        <v>671.23</v>
      </c>
      <c r="AE86" s="16">
        <f>ROUND(AC86*100,0)</f>
        <v>15643</v>
      </c>
      <c r="AF86" s="16">
        <f>ROUND(AD86*100,0)</f>
        <v>67123</v>
      </c>
      <c r="AG86" s="19" t="str">
        <f>IF(AC86=AD86,"TAM",(CONCATENATE(AE86,"/",AF86)))</f>
        <v>15643/67123</v>
      </c>
      <c r="AH86" s="11" t="s">
        <v>50</v>
      </c>
      <c r="AI86" s="21" t="s">
        <v>50</v>
      </c>
      <c r="AJ86" s="71" t="s">
        <v>2426</v>
      </c>
      <c r="AK86" s="54" t="s">
        <v>50</v>
      </c>
      <c r="AL86" s="1" t="s">
        <v>50</v>
      </c>
    </row>
    <row r="87" spans="1:37" ht="12.75" customHeight="1">
      <c r="A87" s="43"/>
      <c r="B87" s="13"/>
      <c r="C87" s="13"/>
      <c r="D87" s="31"/>
      <c r="E87" s="14" t="s">
        <v>50</v>
      </c>
      <c r="F87" s="14"/>
      <c r="G87" s="14"/>
      <c r="H87" s="14"/>
      <c r="I87" s="31"/>
      <c r="J87" s="31"/>
      <c r="K87" s="15"/>
      <c r="L87" s="15"/>
      <c r="M87" s="15"/>
      <c r="N87" s="15"/>
      <c r="O87" s="15"/>
      <c r="P87" s="14"/>
      <c r="Q87" s="14"/>
      <c r="R87" s="14"/>
      <c r="S87" s="14"/>
      <c r="T87" s="14"/>
      <c r="U87" s="14"/>
      <c r="V87" s="14"/>
      <c r="W87" s="14"/>
      <c r="X87" s="14"/>
      <c r="Y87" s="13"/>
      <c r="Z87" s="44"/>
      <c r="AA87" s="43"/>
      <c r="AB87" s="13"/>
      <c r="AC87" s="13"/>
      <c r="AD87" s="13"/>
      <c r="AE87" s="13"/>
      <c r="AF87" s="13"/>
      <c r="AG87" s="13"/>
      <c r="AH87" s="13"/>
      <c r="AI87" s="13"/>
      <c r="AJ87" s="72"/>
      <c r="AK87" s="44"/>
    </row>
    <row r="88" spans="1:38" ht="12.75" customHeight="1">
      <c r="A88" s="41">
        <v>423</v>
      </c>
      <c r="B88" s="10">
        <v>1119</v>
      </c>
      <c r="C88" s="10" t="s">
        <v>283</v>
      </c>
      <c r="D88" s="16">
        <v>910.25</v>
      </c>
      <c r="E88" s="20" t="s">
        <v>284</v>
      </c>
      <c r="F88" s="20" t="s">
        <v>285</v>
      </c>
      <c r="G88" s="12">
        <v>1</v>
      </c>
      <c r="H88" s="12">
        <v>1</v>
      </c>
      <c r="I88" s="16">
        <f>ROUND(G88,0)</f>
        <v>1</v>
      </c>
      <c r="J88" s="16">
        <f>ROUND(H88,0)</f>
        <v>1</v>
      </c>
      <c r="K88" s="18" t="str">
        <f>IF(I88=J88,"TAM",(CONCATENATE(G88,"/",H88)))</f>
        <v>TAM</v>
      </c>
      <c r="L88" s="29">
        <f>910.25*1/1</f>
        <v>910.25</v>
      </c>
      <c r="M88" s="30">
        <v>0</v>
      </c>
      <c r="N88" s="16" t="str">
        <f>IF(M88=0,"0",(O88*M88))</f>
        <v>0</v>
      </c>
      <c r="O88" s="16">
        <f>IF(W88=1,L88,((D88*G88/H88)-P88)/(1-V88)-S88-T88)</f>
        <v>910.25</v>
      </c>
      <c r="P88" s="16">
        <v>0</v>
      </c>
      <c r="Q88" s="16">
        <f>IF(U88=0,"0",O88*U88)</f>
        <v>304.70840096810997</v>
      </c>
      <c r="R88" s="17">
        <f>IF(U88=0,(((D88*G88/H88)-P88-S88-T88)/(1-V88)),(((D88*G88/H88)-P88-S88-T88)/(1-V88))-((D88*G88/H88)-P88-S88-T88)*U88/(1-V88))</f>
        <v>605.54159903189</v>
      </c>
      <c r="S88" s="12">
        <v>0</v>
      </c>
      <c r="T88" s="12">
        <v>0</v>
      </c>
      <c r="U88" s="12">
        <v>0.334752431714485</v>
      </c>
      <c r="V88" s="12">
        <v>0</v>
      </c>
      <c r="W88" s="28">
        <f>IF(V88&gt;U88,1,V88)</f>
        <v>0</v>
      </c>
      <c r="X88" s="12">
        <v>1</v>
      </c>
      <c r="Y88" s="16">
        <v>0</v>
      </c>
      <c r="Z88" s="42" t="str">
        <f>IF(OR(W88=1,W88=0),"0",(Q88-N88))</f>
        <v>0</v>
      </c>
      <c r="AA88" s="53" t="s">
        <v>286</v>
      </c>
      <c r="AB88" s="16" t="s">
        <v>287</v>
      </c>
      <c r="AC88" s="16">
        <v>106.13</v>
      </c>
      <c r="AD88" s="16">
        <v>671.23</v>
      </c>
      <c r="AE88" s="16">
        <f>ROUND(AC88*100,0)</f>
        <v>10613</v>
      </c>
      <c r="AF88" s="16">
        <f>ROUND(AD88*100,0)</f>
        <v>67123</v>
      </c>
      <c r="AG88" s="19" t="str">
        <f>IF(AC88=AD88,"TAM",(CONCATENATE(AE88,"/",AF88)))</f>
        <v>10613/67123</v>
      </c>
      <c r="AH88" s="11" t="s">
        <v>50</v>
      </c>
      <c r="AI88" s="21" t="s">
        <v>50</v>
      </c>
      <c r="AJ88" s="71" t="s">
        <v>2426</v>
      </c>
      <c r="AK88" s="54" t="s">
        <v>50</v>
      </c>
      <c r="AL88" s="1" t="s">
        <v>50</v>
      </c>
    </row>
    <row r="89" spans="1:37" ht="12.75" customHeight="1">
      <c r="A89" s="43"/>
      <c r="B89" s="13"/>
      <c r="C89" s="13"/>
      <c r="D89" s="31"/>
      <c r="E89" s="14" t="s">
        <v>50</v>
      </c>
      <c r="F89" s="14"/>
      <c r="G89" s="14"/>
      <c r="H89" s="14"/>
      <c r="I89" s="31"/>
      <c r="J89" s="31"/>
      <c r="K89" s="15"/>
      <c r="L89" s="15"/>
      <c r="M89" s="15"/>
      <c r="N89" s="15"/>
      <c r="O89" s="15"/>
      <c r="P89" s="14"/>
      <c r="Q89" s="14"/>
      <c r="R89" s="14"/>
      <c r="S89" s="14"/>
      <c r="T89" s="14"/>
      <c r="U89" s="14"/>
      <c r="V89" s="14"/>
      <c r="W89" s="14"/>
      <c r="X89" s="14"/>
      <c r="Y89" s="13"/>
      <c r="Z89" s="44"/>
      <c r="AA89" s="43"/>
      <c r="AB89" s="13"/>
      <c r="AC89" s="13"/>
      <c r="AD89" s="13"/>
      <c r="AE89" s="13"/>
      <c r="AF89" s="13"/>
      <c r="AG89" s="13"/>
      <c r="AH89" s="13"/>
      <c r="AI89" s="13"/>
      <c r="AJ89" s="72"/>
      <c r="AK89" s="44"/>
    </row>
    <row r="90" spans="1:38" ht="12.75" customHeight="1">
      <c r="A90" s="41">
        <v>406</v>
      </c>
      <c r="B90" s="10">
        <v>1126</v>
      </c>
      <c r="C90" s="10" t="s">
        <v>288</v>
      </c>
      <c r="D90" s="16">
        <v>207.12</v>
      </c>
      <c r="E90" s="20" t="s">
        <v>289</v>
      </c>
      <c r="F90" s="20" t="s">
        <v>290</v>
      </c>
      <c r="G90" s="12">
        <v>1</v>
      </c>
      <c r="H90" s="12">
        <v>1</v>
      </c>
      <c r="I90" s="16">
        <f>ROUND(G90,0)</f>
        <v>1</v>
      </c>
      <c r="J90" s="16">
        <f>ROUND(H90,0)</f>
        <v>1</v>
      </c>
      <c r="K90" s="18" t="str">
        <f>IF(I90=J90,"TAM",(CONCATENATE(G90,"/",H90)))</f>
        <v>TAM</v>
      </c>
      <c r="L90" s="29">
        <f>207.12*1/1</f>
        <v>207.12</v>
      </c>
      <c r="M90" s="30">
        <v>0</v>
      </c>
      <c r="N90" s="16" t="str">
        <f>IF(M90=0,"0",(O90*M90))</f>
        <v>0</v>
      </c>
      <c r="O90" s="16">
        <f>IF(W90=1,L90,((D90*G90/H90)-P90)/(1-V90)-S90-T90)</f>
        <v>207.12</v>
      </c>
      <c r="P90" s="16">
        <v>0</v>
      </c>
      <c r="Q90" s="16">
        <f>IF(U90=0,"0",O90*U90)</f>
        <v>69.33392365670413</v>
      </c>
      <c r="R90" s="17">
        <f>IF(U90=0,(((D90*G90/H90)-P90-S90-T90)/(1-V90)),(((D90*G90/H90)-P90-S90-T90)/(1-V90))-((D90*G90/H90)-P90-S90-T90)*U90/(1-V90))</f>
        <v>137.78607634329586</v>
      </c>
      <c r="S90" s="12">
        <v>0</v>
      </c>
      <c r="T90" s="12">
        <v>0</v>
      </c>
      <c r="U90" s="12">
        <v>0.334752431714485</v>
      </c>
      <c r="V90" s="12">
        <v>0</v>
      </c>
      <c r="W90" s="28">
        <f>IF(V90&gt;U90,1,V90)</f>
        <v>0</v>
      </c>
      <c r="X90" s="12">
        <v>1</v>
      </c>
      <c r="Y90" s="16">
        <v>0</v>
      </c>
      <c r="Z90" s="42" t="str">
        <f>IF(OR(W90=1,W90=0),"0",(Q90-N90))</f>
        <v>0</v>
      </c>
      <c r="AA90" s="53" t="s">
        <v>291</v>
      </c>
      <c r="AB90" s="16" t="s">
        <v>292</v>
      </c>
      <c r="AC90" s="16">
        <v>137.79</v>
      </c>
      <c r="AD90" s="16">
        <v>671.23</v>
      </c>
      <c r="AE90" s="16">
        <f>ROUND(AC90*100,0)</f>
        <v>13779</v>
      </c>
      <c r="AF90" s="16">
        <f>ROUND(AD90*100,0)</f>
        <v>67123</v>
      </c>
      <c r="AG90" s="19" t="str">
        <f>IF(AC90=AD90,"TAM",(CONCATENATE(AE90,"/",AF90)))</f>
        <v>13779/67123</v>
      </c>
      <c r="AH90" s="11" t="s">
        <v>50</v>
      </c>
      <c r="AI90" s="21" t="s">
        <v>50</v>
      </c>
      <c r="AJ90" s="71" t="s">
        <v>2426</v>
      </c>
      <c r="AK90" s="54" t="s">
        <v>50</v>
      </c>
      <c r="AL90" s="1" t="s">
        <v>50</v>
      </c>
    </row>
    <row r="91" spans="1:37" ht="12.75" customHeight="1">
      <c r="A91" s="43"/>
      <c r="B91" s="13"/>
      <c r="C91" s="13"/>
      <c r="D91" s="31"/>
      <c r="E91" s="14" t="s">
        <v>50</v>
      </c>
      <c r="F91" s="14"/>
      <c r="G91" s="14"/>
      <c r="H91" s="14"/>
      <c r="I91" s="31"/>
      <c r="J91" s="31"/>
      <c r="K91" s="15"/>
      <c r="L91" s="15"/>
      <c r="M91" s="15"/>
      <c r="N91" s="15"/>
      <c r="O91" s="15"/>
      <c r="P91" s="14"/>
      <c r="Q91" s="14"/>
      <c r="R91" s="14"/>
      <c r="S91" s="14"/>
      <c r="T91" s="14"/>
      <c r="U91" s="14"/>
      <c r="V91" s="14"/>
      <c r="W91" s="14"/>
      <c r="X91" s="14"/>
      <c r="Y91" s="13"/>
      <c r="Z91" s="44"/>
      <c r="AA91" s="43"/>
      <c r="AB91" s="13"/>
      <c r="AC91" s="13"/>
      <c r="AD91" s="13"/>
      <c r="AE91" s="13"/>
      <c r="AF91" s="13"/>
      <c r="AG91" s="13"/>
      <c r="AH91" s="13"/>
      <c r="AI91" s="13"/>
      <c r="AJ91" s="72"/>
      <c r="AK91" s="44"/>
    </row>
    <row r="92" spans="1:38" ht="12.75" customHeight="1">
      <c r="A92" s="41">
        <v>460</v>
      </c>
      <c r="B92" s="10">
        <v>1140</v>
      </c>
      <c r="C92" s="10" t="s">
        <v>293</v>
      </c>
      <c r="D92" s="16">
        <v>1667.3</v>
      </c>
      <c r="E92" s="20" t="s">
        <v>294</v>
      </c>
      <c r="F92" s="20" t="s">
        <v>295</v>
      </c>
      <c r="G92" s="12">
        <v>1</v>
      </c>
      <c r="H92" s="12">
        <v>2</v>
      </c>
      <c r="I92" s="16">
        <f>ROUND(G92,0)</f>
        <v>1</v>
      </c>
      <c r="J92" s="16">
        <f>ROUND(H92,0)</f>
        <v>2</v>
      </c>
      <c r="K92" s="18" t="str">
        <f>IF(I92=J92,"TAM",(CONCATENATE(G92,"/",H92)))</f>
        <v>1/2</v>
      </c>
      <c r="L92" s="29">
        <f>1667.3*1/2</f>
        <v>833.65</v>
      </c>
      <c r="M92" s="30">
        <v>0</v>
      </c>
      <c r="N92" s="16" t="str">
        <f>IF(M92=0,"0",(O92*M92))</f>
        <v>0</v>
      </c>
      <c r="O92" s="16">
        <f>IF(W92=1,L92,((D92*G92/H92)-P92)/(1-V92)-S92-T92)</f>
        <v>833.65</v>
      </c>
      <c r="P92" s="16">
        <v>0</v>
      </c>
      <c r="Q92" s="16">
        <f>IF(U92=0,"0",O92*U92)</f>
        <v>279.0663646987804</v>
      </c>
      <c r="R92" s="17">
        <f>IF(U92=0,(((D92*G92/H92)-P92-S92-T92)/(1-V92)),(((D92*G92/H92)-P92-S92-T92)/(1-V92))-((D92*G92/H92)-P92-S92-T92)*U92/(1-V92))</f>
        <v>554.5836353012196</v>
      </c>
      <c r="S92" s="12">
        <v>0</v>
      </c>
      <c r="T92" s="12">
        <v>0</v>
      </c>
      <c r="U92" s="12">
        <v>0.334752431714485</v>
      </c>
      <c r="V92" s="12">
        <v>0</v>
      </c>
      <c r="W92" s="28">
        <f>IF(V92&gt;U92,1,V92)</f>
        <v>0</v>
      </c>
      <c r="X92" s="12">
        <v>1</v>
      </c>
      <c r="Y92" s="16">
        <v>0</v>
      </c>
      <c r="Z92" s="42" t="str">
        <f>IF(OR(W92=1,W92=0),"0",(Q92-N92))</f>
        <v>0</v>
      </c>
      <c r="AA92" s="53" t="s">
        <v>296</v>
      </c>
      <c r="AB92" s="16" t="s">
        <v>297</v>
      </c>
      <c r="AC92" s="16">
        <v>117.64</v>
      </c>
      <c r="AD92" s="16">
        <v>671.23</v>
      </c>
      <c r="AE92" s="16">
        <f>ROUND(AC92*100,0)</f>
        <v>11764</v>
      </c>
      <c r="AF92" s="16">
        <f>ROUND(AD92*100,0)</f>
        <v>67123</v>
      </c>
      <c r="AG92" s="19" t="str">
        <f>IF(AC92=AD92,"TAM",(CONCATENATE(AE92,"/",AF92)))</f>
        <v>11764/67123</v>
      </c>
      <c r="AH92" s="11" t="s">
        <v>50</v>
      </c>
      <c r="AI92" s="21" t="s">
        <v>50</v>
      </c>
      <c r="AJ92" s="71" t="s">
        <v>2426</v>
      </c>
      <c r="AK92" s="54" t="s">
        <v>50</v>
      </c>
      <c r="AL92" s="1" t="s">
        <v>50</v>
      </c>
    </row>
    <row r="93" spans="1:37" ht="12.75" customHeight="1">
      <c r="A93" s="43"/>
      <c r="B93" s="13"/>
      <c r="C93" s="13"/>
      <c r="D93" s="31"/>
      <c r="E93" s="14" t="s">
        <v>50</v>
      </c>
      <c r="F93" s="14"/>
      <c r="G93" s="14"/>
      <c r="H93" s="14"/>
      <c r="I93" s="31"/>
      <c r="J93" s="31"/>
      <c r="K93" s="15"/>
      <c r="L93" s="15"/>
      <c r="M93" s="15"/>
      <c r="N93" s="15"/>
      <c r="O93" s="15"/>
      <c r="P93" s="14"/>
      <c r="Q93" s="14"/>
      <c r="R93" s="14"/>
      <c r="S93" s="14"/>
      <c r="T93" s="14"/>
      <c r="U93" s="14"/>
      <c r="V93" s="14"/>
      <c r="W93" s="14"/>
      <c r="X93" s="14"/>
      <c r="Y93" s="13"/>
      <c r="Z93" s="44"/>
      <c r="AA93" s="43"/>
      <c r="AB93" s="13"/>
      <c r="AC93" s="13"/>
      <c r="AD93" s="13"/>
      <c r="AE93" s="13"/>
      <c r="AF93" s="13"/>
      <c r="AG93" s="13"/>
      <c r="AH93" s="13"/>
      <c r="AI93" s="13"/>
      <c r="AJ93" s="72"/>
      <c r="AK93" s="44"/>
    </row>
    <row r="94" spans="1:38" ht="12.75" customHeight="1">
      <c r="A94" s="41">
        <v>459</v>
      </c>
      <c r="B94" s="10">
        <v>1140</v>
      </c>
      <c r="C94" s="10" t="s">
        <v>298</v>
      </c>
      <c r="D94" s="16">
        <v>1667.3</v>
      </c>
      <c r="E94" s="20" t="s">
        <v>299</v>
      </c>
      <c r="F94" s="20" t="s">
        <v>300</v>
      </c>
      <c r="G94" s="12">
        <v>1</v>
      </c>
      <c r="H94" s="12">
        <v>2</v>
      </c>
      <c r="I94" s="16">
        <f>ROUND(G94,0)</f>
        <v>1</v>
      </c>
      <c r="J94" s="16">
        <f>ROUND(H94,0)</f>
        <v>2</v>
      </c>
      <c r="K94" s="18" t="str">
        <f>IF(I94=J94,"TAM",(CONCATENATE(G94,"/",H94)))</f>
        <v>1/2</v>
      </c>
      <c r="L94" s="29">
        <f>1667.3*1/2</f>
        <v>833.65</v>
      </c>
      <c r="M94" s="30">
        <v>0</v>
      </c>
      <c r="N94" s="16" t="str">
        <f>IF(M94=0,"0",(O94*M94))</f>
        <v>0</v>
      </c>
      <c r="O94" s="16">
        <f>IF(W94=1,L94,((D94*G94/H94)-P94)/(1-V94)-S94-T94)</f>
        <v>833.65</v>
      </c>
      <c r="P94" s="16">
        <v>0</v>
      </c>
      <c r="Q94" s="16">
        <f>IF(U94=0,"0",O94*U94)</f>
        <v>279.0663646987804</v>
      </c>
      <c r="R94" s="17">
        <f>IF(U94=0,(((D94*G94/H94)-P94-S94-T94)/(1-V94)),(((D94*G94/H94)-P94-S94-T94)/(1-V94))-((D94*G94/H94)-P94-S94-T94)*U94/(1-V94))</f>
        <v>554.5836353012196</v>
      </c>
      <c r="S94" s="12">
        <v>0</v>
      </c>
      <c r="T94" s="12">
        <v>0</v>
      </c>
      <c r="U94" s="12">
        <v>0.334752431714485</v>
      </c>
      <c r="V94" s="12">
        <v>0</v>
      </c>
      <c r="W94" s="28">
        <f>IF(V94&gt;U94,1,V94)</f>
        <v>0</v>
      </c>
      <c r="X94" s="12">
        <v>1</v>
      </c>
      <c r="Y94" s="16">
        <v>0</v>
      </c>
      <c r="Z94" s="42" t="str">
        <f>IF(OR(W94=1,W94=0),"0",(Q94-N94))</f>
        <v>0</v>
      </c>
      <c r="AA94" s="53" t="s">
        <v>301</v>
      </c>
      <c r="AB94" s="16" t="s">
        <v>302</v>
      </c>
      <c r="AC94" s="16">
        <v>117.64</v>
      </c>
      <c r="AD94" s="16">
        <v>671.23</v>
      </c>
      <c r="AE94" s="16">
        <f>ROUND(AC94*100,0)</f>
        <v>11764</v>
      </c>
      <c r="AF94" s="16">
        <f>ROUND(AD94*100,0)</f>
        <v>67123</v>
      </c>
      <c r="AG94" s="19" t="str">
        <f>IF(AC94=AD94,"TAM",(CONCATENATE(AE94,"/",AF94)))</f>
        <v>11764/67123</v>
      </c>
      <c r="AH94" s="11" t="s">
        <v>50</v>
      </c>
      <c r="AI94" s="21" t="s">
        <v>50</v>
      </c>
      <c r="AJ94" s="71" t="s">
        <v>2426</v>
      </c>
      <c r="AK94" s="54" t="s">
        <v>50</v>
      </c>
      <c r="AL94" s="1" t="s">
        <v>50</v>
      </c>
    </row>
    <row r="95" spans="1:37" ht="12.75" customHeight="1">
      <c r="A95" s="43"/>
      <c r="B95" s="13"/>
      <c r="C95" s="13"/>
      <c r="D95" s="31"/>
      <c r="E95" s="14" t="s">
        <v>50</v>
      </c>
      <c r="F95" s="14"/>
      <c r="G95" s="14"/>
      <c r="H95" s="14"/>
      <c r="I95" s="31"/>
      <c r="J95" s="31"/>
      <c r="K95" s="15"/>
      <c r="L95" s="15"/>
      <c r="M95" s="15"/>
      <c r="N95" s="15"/>
      <c r="O95" s="15"/>
      <c r="P95" s="14"/>
      <c r="Q95" s="14"/>
      <c r="R95" s="14"/>
      <c r="S95" s="14"/>
      <c r="T95" s="14"/>
      <c r="U95" s="14"/>
      <c r="V95" s="14"/>
      <c r="W95" s="14"/>
      <c r="X95" s="14"/>
      <c r="Y95" s="13"/>
      <c r="Z95" s="44"/>
      <c r="AA95" s="43"/>
      <c r="AB95" s="13"/>
      <c r="AC95" s="13"/>
      <c r="AD95" s="13"/>
      <c r="AE95" s="13"/>
      <c r="AF95" s="13"/>
      <c r="AG95" s="13"/>
      <c r="AH95" s="13"/>
      <c r="AI95" s="13"/>
      <c r="AJ95" s="72"/>
      <c r="AK95" s="44"/>
    </row>
    <row r="96" spans="1:38" ht="12.75" customHeight="1">
      <c r="A96" s="41">
        <v>464</v>
      </c>
      <c r="B96" s="10">
        <v>1152</v>
      </c>
      <c r="C96" s="10" t="s">
        <v>303</v>
      </c>
      <c r="D96" s="16">
        <v>321.45</v>
      </c>
      <c r="E96" s="20" t="s">
        <v>304</v>
      </c>
      <c r="F96" s="20" t="s">
        <v>305</v>
      </c>
      <c r="G96" s="12">
        <v>1</v>
      </c>
      <c r="H96" s="12">
        <v>1</v>
      </c>
      <c r="I96" s="16">
        <f>ROUND(G96,0)</f>
        <v>1</v>
      </c>
      <c r="J96" s="16">
        <f>ROUND(H96,0)</f>
        <v>1</v>
      </c>
      <c r="K96" s="18" t="str">
        <f>IF(I96=J96,"TAM",(CONCATENATE(G96,"/",H96)))</f>
        <v>TAM</v>
      </c>
      <c r="L96" s="29">
        <f>321.45*1/1</f>
        <v>321.45</v>
      </c>
      <c r="M96" s="30">
        <v>0</v>
      </c>
      <c r="N96" s="16" t="str">
        <f>IF(M96=0,"0",(O96*M96))</f>
        <v>0</v>
      </c>
      <c r="O96" s="16">
        <f>IF(W96=1,L96,((D96*G96/H96)-P96)/(1-V96)-S96-T96)</f>
        <v>236.06</v>
      </c>
      <c r="P96" s="16">
        <v>85.39</v>
      </c>
      <c r="Q96" s="16">
        <f>IF(U96=0,"0",O96*U96)</f>
        <v>79.02165903052132</v>
      </c>
      <c r="R96" s="17">
        <f>IF(U96=0,(((D96*G96/H96)-P96-S96-T96)/(1-V96)),(((D96*G96/H96)-P96-S96-T96)/(1-V96))-((D96*G96/H96)-P96-S96-T96)*U96/(1-V96))</f>
        <v>157.03834096947867</v>
      </c>
      <c r="S96" s="12">
        <v>0</v>
      </c>
      <c r="T96" s="12">
        <v>0</v>
      </c>
      <c r="U96" s="12">
        <v>0.334752431714485</v>
      </c>
      <c r="V96" s="12">
        <v>0</v>
      </c>
      <c r="W96" s="28">
        <f>IF(V96&gt;U96,1,V96)</f>
        <v>0</v>
      </c>
      <c r="X96" s="12">
        <v>1</v>
      </c>
      <c r="Y96" s="16">
        <v>0</v>
      </c>
      <c r="Z96" s="42" t="str">
        <f>IF(OR(W96=1,W96=0),"0",(Q96-N96))</f>
        <v>0</v>
      </c>
      <c r="AA96" s="53" t="s">
        <v>306</v>
      </c>
      <c r="AB96" s="16" t="s">
        <v>308</v>
      </c>
      <c r="AC96" s="16">
        <v>157.04</v>
      </c>
      <c r="AD96" s="16">
        <v>531.11</v>
      </c>
      <c r="AE96" s="16">
        <f>ROUND(AC96*100,0)</f>
        <v>15704</v>
      </c>
      <c r="AF96" s="16">
        <f>ROUND(AD96*100,0)</f>
        <v>53111</v>
      </c>
      <c r="AG96" s="19" t="str">
        <f>IF(AC96=AD96,"TAM",(CONCATENATE(AE96,"/",AF96)))</f>
        <v>15704/53111</v>
      </c>
      <c r="AH96" s="11" t="s">
        <v>50</v>
      </c>
      <c r="AI96" s="21" t="s">
        <v>50</v>
      </c>
      <c r="AJ96" s="21" t="s">
        <v>307</v>
      </c>
      <c r="AK96" s="54" t="s">
        <v>50</v>
      </c>
      <c r="AL96" s="1" t="s">
        <v>50</v>
      </c>
    </row>
    <row r="97" spans="1:37" ht="12.75" customHeight="1">
      <c r="A97" s="43"/>
      <c r="B97" s="13"/>
      <c r="C97" s="13"/>
      <c r="D97" s="31"/>
      <c r="E97" s="14" t="s">
        <v>50</v>
      </c>
      <c r="F97" s="14"/>
      <c r="G97" s="14"/>
      <c r="H97" s="14"/>
      <c r="I97" s="31"/>
      <c r="J97" s="31"/>
      <c r="K97" s="15"/>
      <c r="L97" s="15"/>
      <c r="M97" s="15"/>
      <c r="N97" s="15"/>
      <c r="O97" s="15"/>
      <c r="P97" s="14"/>
      <c r="Q97" s="14"/>
      <c r="R97" s="14"/>
      <c r="S97" s="14"/>
      <c r="T97" s="14"/>
      <c r="U97" s="14"/>
      <c r="V97" s="14"/>
      <c r="W97" s="14"/>
      <c r="X97" s="14"/>
      <c r="Y97" s="13"/>
      <c r="Z97" s="44"/>
      <c r="AA97" s="43"/>
      <c r="AB97" s="13"/>
      <c r="AC97" s="13"/>
      <c r="AD97" s="13"/>
      <c r="AE97" s="13"/>
      <c r="AF97" s="13"/>
      <c r="AG97" s="13"/>
      <c r="AH97" s="13"/>
      <c r="AI97" s="13"/>
      <c r="AJ97" s="13"/>
      <c r="AK97" s="44"/>
    </row>
    <row r="98" spans="1:38" ht="12.75" customHeight="1">
      <c r="A98" s="41">
        <v>507</v>
      </c>
      <c r="B98" s="10">
        <v>1289</v>
      </c>
      <c r="C98" s="10" t="s">
        <v>309</v>
      </c>
      <c r="D98" s="16">
        <v>256.46</v>
      </c>
      <c r="E98" s="20" t="s">
        <v>310</v>
      </c>
      <c r="F98" s="20" t="s">
        <v>311</v>
      </c>
      <c r="G98" s="12">
        <v>1</v>
      </c>
      <c r="H98" s="12">
        <v>1</v>
      </c>
      <c r="I98" s="16">
        <f>ROUND(G98,0)</f>
        <v>1</v>
      </c>
      <c r="J98" s="16">
        <f>ROUND(H98,0)</f>
        <v>1</v>
      </c>
      <c r="K98" s="18" t="str">
        <f>IF(I98=J98,"TAM",(CONCATENATE(G98,"/",H98)))</f>
        <v>TAM</v>
      </c>
      <c r="L98" s="29">
        <f>256.46*1/1</f>
        <v>256.46</v>
      </c>
      <c r="M98" s="30">
        <v>0</v>
      </c>
      <c r="N98" s="16" t="str">
        <f>IF(M98=0,"0",(O98*M98))</f>
        <v>0</v>
      </c>
      <c r="O98" s="16">
        <f>IF(W98=1,L98,((D98*G98/H98)-P98)/(1-V98)-S98-T98)</f>
        <v>36.01999999999998</v>
      </c>
      <c r="P98" s="16">
        <v>220.44</v>
      </c>
      <c r="Q98" s="16">
        <f>IF(U98=0,"0",O98*U98)</f>
        <v>12.057782590355743</v>
      </c>
      <c r="R98" s="17">
        <f>IF(U98=0,(((D98*G98/H98)-P98-S98-T98)/(1-V98)),(((D98*G98/H98)-P98-S98-T98)/(1-V98))-((D98*G98/H98)-P98-S98-T98)*U98/(1-V98))</f>
        <v>23.96221740964424</v>
      </c>
      <c r="S98" s="12">
        <v>0</v>
      </c>
      <c r="T98" s="12">
        <v>0</v>
      </c>
      <c r="U98" s="12">
        <v>0.334752431714485</v>
      </c>
      <c r="V98" s="12">
        <v>0</v>
      </c>
      <c r="W98" s="28">
        <f>IF(V98&gt;U98,1,V98)</f>
        <v>0</v>
      </c>
      <c r="X98" s="12">
        <v>1</v>
      </c>
      <c r="Y98" s="16">
        <v>0</v>
      </c>
      <c r="Z98" s="42" t="str">
        <f>IF(OR(W98=1,W98=0),"0",(Q98-N98))</f>
        <v>0</v>
      </c>
      <c r="AA98" s="53" t="s">
        <v>313</v>
      </c>
      <c r="AB98" s="16" t="s">
        <v>315</v>
      </c>
      <c r="AC98" s="16">
        <v>23.96</v>
      </c>
      <c r="AD98" s="16">
        <v>531.11</v>
      </c>
      <c r="AE98" s="16">
        <f>ROUND(AC98*100,0)</f>
        <v>2396</v>
      </c>
      <c r="AF98" s="16">
        <f>ROUND(AD98*100,0)</f>
        <v>53111</v>
      </c>
      <c r="AG98" s="19" t="str">
        <f>IF(AC98=AD98,"TAM",(CONCATENATE(AE98,"/",AF98)))</f>
        <v>2396/53111</v>
      </c>
      <c r="AH98" s="11" t="s">
        <v>50</v>
      </c>
      <c r="AI98" s="21" t="s">
        <v>50</v>
      </c>
      <c r="AJ98" s="21" t="s">
        <v>314</v>
      </c>
      <c r="AK98" s="54" t="s">
        <v>50</v>
      </c>
      <c r="AL98" s="1" t="s">
        <v>50</v>
      </c>
    </row>
    <row r="99" spans="1:37" ht="82.5" customHeight="1">
      <c r="A99" s="43"/>
      <c r="B99" s="13"/>
      <c r="C99" s="13"/>
      <c r="D99" s="31"/>
      <c r="E99" s="34" t="s">
        <v>312</v>
      </c>
      <c r="F99" s="14"/>
      <c r="G99" s="14"/>
      <c r="H99" s="14"/>
      <c r="I99" s="31"/>
      <c r="J99" s="31"/>
      <c r="K99" s="15"/>
      <c r="L99" s="15"/>
      <c r="M99" s="15"/>
      <c r="N99" s="15"/>
      <c r="O99" s="15"/>
      <c r="P99" s="14"/>
      <c r="Q99" s="14"/>
      <c r="R99" s="14"/>
      <c r="S99" s="14"/>
      <c r="T99" s="14"/>
      <c r="U99" s="14"/>
      <c r="V99" s="14"/>
      <c r="W99" s="14"/>
      <c r="X99" s="14"/>
      <c r="Y99" s="13"/>
      <c r="Z99" s="44"/>
      <c r="AA99" s="43"/>
      <c r="AB99" s="13"/>
      <c r="AC99" s="13"/>
      <c r="AD99" s="13"/>
      <c r="AE99" s="13"/>
      <c r="AF99" s="13"/>
      <c r="AG99" s="13"/>
      <c r="AH99" s="13"/>
      <c r="AI99" s="13"/>
      <c r="AJ99" s="13"/>
      <c r="AK99" s="44"/>
    </row>
    <row r="100" spans="1:38" ht="12.75" customHeight="1">
      <c r="A100" s="41">
        <v>517</v>
      </c>
      <c r="B100" s="10">
        <v>1292</v>
      </c>
      <c r="C100" s="10" t="s">
        <v>316</v>
      </c>
      <c r="D100" s="16">
        <v>1224.97</v>
      </c>
      <c r="E100" s="20" t="s">
        <v>317</v>
      </c>
      <c r="F100" s="20" t="s">
        <v>318</v>
      </c>
      <c r="G100" s="12">
        <v>1</v>
      </c>
      <c r="H100" s="12">
        <v>1</v>
      </c>
      <c r="I100" s="16">
        <f>ROUND(G100,0)</f>
        <v>1</v>
      </c>
      <c r="J100" s="16">
        <f>ROUND(H100,0)</f>
        <v>1</v>
      </c>
      <c r="K100" s="18" t="str">
        <f>IF(I100=J100,"TAM",(CONCATENATE(G100,"/",H100)))</f>
        <v>TAM</v>
      </c>
      <c r="L100" s="29">
        <f>1224.97*1/1</f>
        <v>1224.97</v>
      </c>
      <c r="M100" s="30">
        <v>0</v>
      </c>
      <c r="N100" s="16" t="str">
        <f>IF(M100=0,"0",(O100*M100))</f>
        <v>0</v>
      </c>
      <c r="O100" s="16">
        <f>IF(W100=1,L100,((D100*G100/H100)-P100)/(1-V100)-S100-T100)</f>
        <v>526.2900000000001</v>
      </c>
      <c r="P100" s="16">
        <v>698.68</v>
      </c>
      <c r="Q100" s="16">
        <f>IF(U100=0,"0",O100*U100)</f>
        <v>176.17685728701633</v>
      </c>
      <c r="R100" s="17">
        <f>IF(U100=0,(((D100*G100/H100)-P100-S100-T100)/(1-V100)),(((D100*G100/H100)-P100-S100-T100)/(1-V100))-((D100*G100/H100)-P100-S100-T100)*U100/(1-V100))</f>
        <v>350.11314271298374</v>
      </c>
      <c r="S100" s="12">
        <v>0</v>
      </c>
      <c r="T100" s="12">
        <v>0</v>
      </c>
      <c r="U100" s="12">
        <v>0.334752431714485</v>
      </c>
      <c r="V100" s="12">
        <v>0</v>
      </c>
      <c r="W100" s="28">
        <f>IF(V100&gt;U100,1,V100)</f>
        <v>0</v>
      </c>
      <c r="X100" s="12">
        <v>1</v>
      </c>
      <c r="Y100" s="16">
        <v>0</v>
      </c>
      <c r="Z100" s="42" t="str">
        <f>IF(OR(W100=1,W100=0),"0",(Q100-N100))</f>
        <v>0</v>
      </c>
      <c r="AA100" s="53" t="s">
        <v>319</v>
      </c>
      <c r="AB100" s="16" t="s">
        <v>321</v>
      </c>
      <c r="AC100" s="16">
        <v>350.11</v>
      </c>
      <c r="AD100" s="16">
        <v>531.11</v>
      </c>
      <c r="AE100" s="16">
        <f>ROUND(AC100*100,0)</f>
        <v>35011</v>
      </c>
      <c r="AF100" s="16">
        <f>ROUND(AD100*100,0)</f>
        <v>53111</v>
      </c>
      <c r="AG100" s="19" t="str">
        <f>IF(AC100=AD100,"TAM",(CONCATENATE(AE100,"/",AF100)))</f>
        <v>35011/53111</v>
      </c>
      <c r="AH100" s="11" t="s">
        <v>50</v>
      </c>
      <c r="AI100" s="21" t="s">
        <v>50</v>
      </c>
      <c r="AJ100" s="21" t="s">
        <v>320</v>
      </c>
      <c r="AK100" s="54" t="s">
        <v>50</v>
      </c>
      <c r="AL100" s="1" t="s">
        <v>50</v>
      </c>
    </row>
    <row r="101" spans="1:37" ht="12.75" customHeight="1">
      <c r="A101" s="43"/>
      <c r="B101" s="13"/>
      <c r="C101" s="13"/>
      <c r="D101" s="31"/>
      <c r="E101" s="14" t="s">
        <v>50</v>
      </c>
      <c r="F101" s="14"/>
      <c r="G101" s="14"/>
      <c r="H101" s="14"/>
      <c r="I101" s="31"/>
      <c r="J101" s="31"/>
      <c r="K101" s="15"/>
      <c r="L101" s="15"/>
      <c r="M101" s="15"/>
      <c r="N101" s="15"/>
      <c r="O101" s="15"/>
      <c r="P101" s="14"/>
      <c r="Q101" s="14"/>
      <c r="R101" s="14"/>
      <c r="S101" s="14"/>
      <c r="T101" s="14"/>
      <c r="U101" s="14"/>
      <c r="V101" s="14"/>
      <c r="W101" s="14"/>
      <c r="X101" s="14"/>
      <c r="Y101" s="13"/>
      <c r="Z101" s="44"/>
      <c r="AA101" s="43"/>
      <c r="AB101" s="13"/>
      <c r="AC101" s="13"/>
      <c r="AD101" s="13"/>
      <c r="AE101" s="13"/>
      <c r="AF101" s="13"/>
      <c r="AG101" s="13"/>
      <c r="AH101" s="13"/>
      <c r="AI101" s="13"/>
      <c r="AJ101" s="13"/>
      <c r="AK101" s="44"/>
    </row>
    <row r="102" spans="1:38" ht="12.75" customHeight="1">
      <c r="A102" s="41">
        <v>460</v>
      </c>
      <c r="B102" s="10">
        <v>1140</v>
      </c>
      <c r="C102" s="10" t="s">
        <v>322</v>
      </c>
      <c r="D102" s="16">
        <v>1667.3</v>
      </c>
      <c r="E102" s="20" t="s">
        <v>323</v>
      </c>
      <c r="F102" s="20" t="s">
        <v>324</v>
      </c>
      <c r="G102" s="12">
        <v>1</v>
      </c>
      <c r="H102" s="12">
        <v>2</v>
      </c>
      <c r="I102" s="16">
        <f>ROUND(G102,0)</f>
        <v>1</v>
      </c>
      <c r="J102" s="16">
        <f>ROUND(H102,0)</f>
        <v>2</v>
      </c>
      <c r="K102" s="18" t="str">
        <f>IF(I102=J102,"TAM",(CONCATENATE(G102,"/",H102)))</f>
        <v>1/2</v>
      </c>
      <c r="L102" s="29">
        <f>1667.3*1/2</f>
        <v>833.65</v>
      </c>
      <c r="M102" s="30">
        <v>0</v>
      </c>
      <c r="N102" s="16" t="str">
        <f>IF(M102=0,"0",(O102*M102))</f>
        <v>0</v>
      </c>
      <c r="O102" s="16">
        <f>IF(W102=1,L102,((D102*G102/H102)-P102)/(1-V102)-S102-T102)</f>
        <v>833.65</v>
      </c>
      <c r="P102" s="16">
        <v>0</v>
      </c>
      <c r="Q102" s="16">
        <f>IF(U102=0,"0",O102*U102)</f>
        <v>279.0663646987804</v>
      </c>
      <c r="R102" s="17">
        <f>IF(U102=0,(((D102*G102/H102)-P102-S102-T102)/(1-V102)),(((D102*G102/H102)-P102-S102-T102)/(1-V102))-((D102*G102/H102)-P102-S102-T102)*U102/(1-V102))</f>
        <v>554.5836353012196</v>
      </c>
      <c r="S102" s="12">
        <v>0</v>
      </c>
      <c r="T102" s="12">
        <v>0</v>
      </c>
      <c r="U102" s="12">
        <v>0.334752431714485</v>
      </c>
      <c r="V102" s="12">
        <v>0</v>
      </c>
      <c r="W102" s="28">
        <f>IF(V102&gt;U102,1,V102)</f>
        <v>0</v>
      </c>
      <c r="X102" s="12">
        <v>1</v>
      </c>
      <c r="Y102" s="16">
        <v>0</v>
      </c>
      <c r="Z102" s="42" t="str">
        <f>IF(OR(W102=1,W102=0),"0",(Q102-N102))</f>
        <v>0</v>
      </c>
      <c r="AA102" s="53" t="s">
        <v>325</v>
      </c>
      <c r="AB102" s="16" t="s">
        <v>327</v>
      </c>
      <c r="AC102" s="16">
        <v>66.71</v>
      </c>
      <c r="AD102" s="16">
        <v>584.54</v>
      </c>
      <c r="AE102" s="16">
        <f>ROUND(AC102*100,0)</f>
        <v>6671</v>
      </c>
      <c r="AF102" s="16">
        <f>ROUND(AD102*100,0)</f>
        <v>58454</v>
      </c>
      <c r="AG102" s="19" t="str">
        <f>IF(AC102=AD102,"TAM",(CONCATENATE(AE102,"/",AF102)))</f>
        <v>6671/58454</v>
      </c>
      <c r="AH102" s="11" t="s">
        <v>50</v>
      </c>
      <c r="AI102" s="21" t="s">
        <v>50</v>
      </c>
      <c r="AJ102" s="21" t="s">
        <v>326</v>
      </c>
      <c r="AK102" s="54" t="s">
        <v>50</v>
      </c>
      <c r="AL102" s="1" t="s">
        <v>50</v>
      </c>
    </row>
    <row r="103" spans="1:37" ht="12.75" customHeight="1">
      <c r="A103" s="43"/>
      <c r="B103" s="13"/>
      <c r="C103" s="13"/>
      <c r="D103" s="31"/>
      <c r="E103" s="14" t="s">
        <v>50</v>
      </c>
      <c r="F103" s="14"/>
      <c r="G103" s="14"/>
      <c r="H103" s="14"/>
      <c r="I103" s="31"/>
      <c r="J103" s="31"/>
      <c r="K103" s="15"/>
      <c r="L103" s="15"/>
      <c r="M103" s="15"/>
      <c r="N103" s="15"/>
      <c r="O103" s="15"/>
      <c r="P103" s="14"/>
      <c r="Q103" s="14"/>
      <c r="R103" s="14"/>
      <c r="S103" s="14"/>
      <c r="T103" s="14"/>
      <c r="U103" s="14"/>
      <c r="V103" s="14"/>
      <c r="W103" s="14"/>
      <c r="X103" s="14"/>
      <c r="Y103" s="13"/>
      <c r="Z103" s="44"/>
      <c r="AA103" s="43"/>
      <c r="AB103" s="13"/>
      <c r="AC103" s="13"/>
      <c r="AD103" s="13"/>
      <c r="AE103" s="13"/>
      <c r="AF103" s="13"/>
      <c r="AG103" s="13"/>
      <c r="AH103" s="13"/>
      <c r="AI103" s="13"/>
      <c r="AJ103" s="13"/>
      <c r="AK103" s="44"/>
    </row>
    <row r="104" spans="1:38" ht="12.75" customHeight="1">
      <c r="A104" s="41">
        <v>459</v>
      </c>
      <c r="B104" s="10">
        <v>1140</v>
      </c>
      <c r="C104" s="10" t="s">
        <v>328</v>
      </c>
      <c r="D104" s="16">
        <v>1667.3</v>
      </c>
      <c r="E104" s="20" t="s">
        <v>329</v>
      </c>
      <c r="F104" s="20" t="s">
        <v>330</v>
      </c>
      <c r="G104" s="12">
        <v>1</v>
      </c>
      <c r="H104" s="12">
        <v>2</v>
      </c>
      <c r="I104" s="16">
        <f>ROUND(G104,0)</f>
        <v>1</v>
      </c>
      <c r="J104" s="16">
        <f>ROUND(H104,0)</f>
        <v>2</v>
      </c>
      <c r="K104" s="18" t="str">
        <f>IF(I104=J104,"TAM",(CONCATENATE(G104,"/",H104)))</f>
        <v>1/2</v>
      </c>
      <c r="L104" s="29">
        <f>1667.3*1/2</f>
        <v>833.65</v>
      </c>
      <c r="M104" s="30">
        <v>0</v>
      </c>
      <c r="N104" s="16" t="str">
        <f>IF(M104=0,"0",(O104*M104))</f>
        <v>0</v>
      </c>
      <c r="O104" s="16">
        <f>IF(W104=1,L104,((D104*G104/H104)-P104)/(1-V104)-S104-T104)</f>
        <v>833.65</v>
      </c>
      <c r="P104" s="16">
        <v>0</v>
      </c>
      <c r="Q104" s="16">
        <f>IF(U104=0,"0",O104*U104)</f>
        <v>279.0663646987804</v>
      </c>
      <c r="R104" s="17">
        <f>IF(U104=0,(((D104*G104/H104)-P104-S104-T104)/(1-V104)),(((D104*G104/H104)-P104-S104-T104)/(1-V104))-((D104*G104/H104)-P104-S104-T104)*U104/(1-V104))</f>
        <v>554.5836353012196</v>
      </c>
      <c r="S104" s="12">
        <v>0</v>
      </c>
      <c r="T104" s="12">
        <v>0</v>
      </c>
      <c r="U104" s="12">
        <v>0.334752431714485</v>
      </c>
      <c r="V104" s="12">
        <v>0</v>
      </c>
      <c r="W104" s="28">
        <f>IF(V104&gt;U104,1,V104)</f>
        <v>0</v>
      </c>
      <c r="X104" s="12">
        <v>1</v>
      </c>
      <c r="Y104" s="16">
        <v>0</v>
      </c>
      <c r="Z104" s="42" t="str">
        <f>IF(OR(W104=1,W104=0),"0",(Q104-N104))</f>
        <v>0</v>
      </c>
      <c r="AA104" s="53" t="s">
        <v>331</v>
      </c>
      <c r="AB104" s="16" t="s">
        <v>333</v>
      </c>
      <c r="AC104" s="16">
        <v>66.71</v>
      </c>
      <c r="AD104" s="16">
        <v>584.54</v>
      </c>
      <c r="AE104" s="16">
        <f>ROUND(AC104*100,0)</f>
        <v>6671</v>
      </c>
      <c r="AF104" s="16">
        <f>ROUND(AD104*100,0)</f>
        <v>58454</v>
      </c>
      <c r="AG104" s="19" t="str">
        <f>IF(AC104=AD104,"TAM",(CONCATENATE(AE104,"/",AF104)))</f>
        <v>6671/58454</v>
      </c>
      <c r="AH104" s="11" t="s">
        <v>50</v>
      </c>
      <c r="AI104" s="21" t="s">
        <v>50</v>
      </c>
      <c r="AJ104" s="21" t="s">
        <v>332</v>
      </c>
      <c r="AK104" s="54" t="s">
        <v>50</v>
      </c>
      <c r="AL104" s="1" t="s">
        <v>50</v>
      </c>
    </row>
    <row r="105" spans="1:37" ht="12.75" customHeight="1">
      <c r="A105" s="43"/>
      <c r="B105" s="13"/>
      <c r="C105" s="13"/>
      <c r="D105" s="31"/>
      <c r="E105" s="14" t="s">
        <v>50</v>
      </c>
      <c r="F105" s="14"/>
      <c r="G105" s="14"/>
      <c r="H105" s="14"/>
      <c r="I105" s="31"/>
      <c r="J105" s="31"/>
      <c r="K105" s="15"/>
      <c r="L105" s="15"/>
      <c r="M105" s="15"/>
      <c r="N105" s="15"/>
      <c r="O105" s="15"/>
      <c r="P105" s="14"/>
      <c r="Q105" s="14"/>
      <c r="R105" s="14"/>
      <c r="S105" s="14"/>
      <c r="T105" s="14"/>
      <c r="U105" s="14"/>
      <c r="V105" s="14"/>
      <c r="W105" s="14"/>
      <c r="X105" s="14"/>
      <c r="Y105" s="13"/>
      <c r="Z105" s="44"/>
      <c r="AA105" s="43"/>
      <c r="AB105" s="13"/>
      <c r="AC105" s="13"/>
      <c r="AD105" s="13"/>
      <c r="AE105" s="13"/>
      <c r="AF105" s="13"/>
      <c r="AG105" s="13"/>
      <c r="AH105" s="13"/>
      <c r="AI105" s="13"/>
      <c r="AJ105" s="13"/>
      <c r="AK105" s="44"/>
    </row>
    <row r="106" spans="1:38" ht="12.75" customHeight="1">
      <c r="A106" s="41">
        <v>520</v>
      </c>
      <c r="B106" s="10">
        <v>1297</v>
      </c>
      <c r="C106" s="10" t="s">
        <v>334</v>
      </c>
      <c r="D106" s="16">
        <v>950.08</v>
      </c>
      <c r="E106" s="20" t="s">
        <v>335</v>
      </c>
      <c r="F106" s="20" t="s">
        <v>336</v>
      </c>
      <c r="G106" s="12">
        <v>7</v>
      </c>
      <c r="H106" s="12">
        <v>24</v>
      </c>
      <c r="I106" s="16">
        <f>ROUND(G106,0)</f>
        <v>7</v>
      </c>
      <c r="J106" s="16">
        <f>ROUND(H106,0)</f>
        <v>24</v>
      </c>
      <c r="K106" s="18" t="str">
        <f>IF(I106=J106,"TAM",(CONCATENATE(G106,"/",H106)))</f>
        <v>7/24</v>
      </c>
      <c r="L106" s="29">
        <f>950.08*7/24</f>
        <v>277.1066666666667</v>
      </c>
      <c r="M106" s="30">
        <v>0</v>
      </c>
      <c r="N106" s="16" t="str">
        <f>IF(M106=0,"0",(O106*M106))</f>
        <v>0</v>
      </c>
      <c r="O106" s="16">
        <f>IF(W106=1,L106,((D106*G106/H106)-P106)/(1-V106)-S106-T106)</f>
        <v>197.7866666666667</v>
      </c>
      <c r="P106" s="16">
        <v>79.32</v>
      </c>
      <c r="Q106" s="16">
        <f>IF(U106=0,"0",O106*U106)</f>
        <v>66.20956762736894</v>
      </c>
      <c r="R106" s="17">
        <f>IF(U106=0,(((D106*G106/H106)-P106-S106-T106)/(1-V106)),(((D106*G106/H106)-P106-S106-T106)/(1-V106))-((D106*G106/H106)-P106-S106-T106)*U106/(1-V106))</f>
        <v>131.57709903929776</v>
      </c>
      <c r="S106" s="12">
        <v>0</v>
      </c>
      <c r="T106" s="12">
        <v>0</v>
      </c>
      <c r="U106" s="12">
        <v>0.334752431714485</v>
      </c>
      <c r="V106" s="12">
        <v>0</v>
      </c>
      <c r="W106" s="28">
        <f>IF(V106&gt;U106,1,V106)</f>
        <v>0</v>
      </c>
      <c r="X106" s="12">
        <v>1</v>
      </c>
      <c r="Y106" s="16">
        <v>0</v>
      </c>
      <c r="Z106" s="42" t="str">
        <f>IF(OR(W106=1,W106=0),"0",(Q106-N106))</f>
        <v>0</v>
      </c>
      <c r="AA106" s="53" t="s">
        <v>337</v>
      </c>
      <c r="AB106" s="16" t="s">
        <v>339</v>
      </c>
      <c r="AC106" s="16">
        <v>131.57</v>
      </c>
      <c r="AD106" s="16">
        <v>584.54</v>
      </c>
      <c r="AE106" s="16">
        <f>ROUND(AC106*100,0)</f>
        <v>13157</v>
      </c>
      <c r="AF106" s="16">
        <f>ROUND(AD106*100,0)</f>
        <v>58454</v>
      </c>
      <c r="AG106" s="19" t="str">
        <f>IF(AC106=AD106,"TAM",(CONCATENATE(AE106,"/",AF106)))</f>
        <v>13157/58454</v>
      </c>
      <c r="AH106" s="11" t="s">
        <v>50</v>
      </c>
      <c r="AI106" s="21" t="s">
        <v>50</v>
      </c>
      <c r="AJ106" s="21" t="s">
        <v>338</v>
      </c>
      <c r="AK106" s="54" t="s">
        <v>50</v>
      </c>
      <c r="AL106" s="1" t="s">
        <v>50</v>
      </c>
    </row>
    <row r="107" spans="1:37" ht="12.75" customHeight="1">
      <c r="A107" s="43"/>
      <c r="B107" s="13"/>
      <c r="C107" s="13"/>
      <c r="D107" s="31"/>
      <c r="E107" s="14" t="s">
        <v>50</v>
      </c>
      <c r="F107" s="14"/>
      <c r="G107" s="14"/>
      <c r="H107" s="14"/>
      <c r="I107" s="31"/>
      <c r="J107" s="31"/>
      <c r="K107" s="15"/>
      <c r="L107" s="15"/>
      <c r="M107" s="15"/>
      <c r="N107" s="15"/>
      <c r="O107" s="15"/>
      <c r="P107" s="14"/>
      <c r="Q107" s="14"/>
      <c r="R107" s="14"/>
      <c r="S107" s="14"/>
      <c r="T107" s="14"/>
      <c r="U107" s="14"/>
      <c r="V107" s="14"/>
      <c r="W107" s="14"/>
      <c r="X107" s="14"/>
      <c r="Y107" s="13"/>
      <c r="Z107" s="44"/>
      <c r="AA107" s="43"/>
      <c r="AB107" s="13"/>
      <c r="AC107" s="13"/>
      <c r="AD107" s="13"/>
      <c r="AE107" s="13"/>
      <c r="AF107" s="13"/>
      <c r="AG107" s="13"/>
      <c r="AH107" s="13"/>
      <c r="AI107" s="13"/>
      <c r="AJ107" s="13"/>
      <c r="AK107" s="44"/>
    </row>
    <row r="108" spans="1:38" ht="12.75" customHeight="1">
      <c r="A108" s="41">
        <v>521</v>
      </c>
      <c r="B108" s="10">
        <v>1297</v>
      </c>
      <c r="C108" s="10" t="s">
        <v>340</v>
      </c>
      <c r="D108" s="16">
        <v>950.08</v>
      </c>
      <c r="E108" s="20" t="s">
        <v>341</v>
      </c>
      <c r="F108" s="20" t="s">
        <v>342</v>
      </c>
      <c r="G108" s="12">
        <v>3</v>
      </c>
      <c r="H108" s="12">
        <v>24</v>
      </c>
      <c r="I108" s="16">
        <f>ROUND(G108,0)</f>
        <v>3</v>
      </c>
      <c r="J108" s="16">
        <f>ROUND(H108,0)</f>
        <v>24</v>
      </c>
      <c r="K108" s="18" t="str">
        <f>IF(I108=J108,"TAM",(CONCATENATE(G108,"/",H108)))</f>
        <v>3/24</v>
      </c>
      <c r="L108" s="29">
        <f>950.08*3/24</f>
        <v>118.76</v>
      </c>
      <c r="M108" s="30">
        <v>0</v>
      </c>
      <c r="N108" s="16" t="str">
        <f>IF(M108=0,"0",(O108*M108))</f>
        <v>0</v>
      </c>
      <c r="O108" s="16">
        <f>IF(W108=1,L108,((D108*G108/H108)-P108)/(1-V108)-S108-T108)</f>
        <v>84.77000000000001</v>
      </c>
      <c r="P108" s="16">
        <v>33.99</v>
      </c>
      <c r="Q108" s="16">
        <f>IF(U108=0,"0",O108*U108)</f>
        <v>28.376963636436894</v>
      </c>
      <c r="R108" s="17">
        <f>IF(U108=0,(((D108*G108/H108)-P108-S108-T108)/(1-V108)),(((D108*G108/H108)-P108-S108-T108)/(1-V108))-((D108*G108/H108)-P108-S108-T108)*U108/(1-V108))</f>
        <v>56.39303636356311</v>
      </c>
      <c r="S108" s="12">
        <v>0</v>
      </c>
      <c r="T108" s="12">
        <v>0</v>
      </c>
      <c r="U108" s="12">
        <v>0.334752431714485</v>
      </c>
      <c r="V108" s="12">
        <v>0</v>
      </c>
      <c r="W108" s="28">
        <f>IF(V108&gt;U108,1,V108)</f>
        <v>0</v>
      </c>
      <c r="X108" s="12">
        <v>1</v>
      </c>
      <c r="Y108" s="16">
        <v>0</v>
      </c>
      <c r="Z108" s="42" t="str">
        <f>IF(OR(W108=1,W108=0),"0",(Q108-N108))</f>
        <v>0</v>
      </c>
      <c r="AA108" s="53" t="s">
        <v>343</v>
      </c>
      <c r="AB108" s="16" t="s">
        <v>345</v>
      </c>
      <c r="AC108" s="16">
        <v>56.39</v>
      </c>
      <c r="AD108" s="16">
        <v>584.54</v>
      </c>
      <c r="AE108" s="16">
        <f>ROUND(AC108*100,0)</f>
        <v>5639</v>
      </c>
      <c r="AF108" s="16">
        <f>ROUND(AD108*100,0)</f>
        <v>58454</v>
      </c>
      <c r="AG108" s="19" t="str">
        <f>IF(AC108=AD108,"TAM",(CONCATENATE(AE108,"/",AF108)))</f>
        <v>5639/58454</v>
      </c>
      <c r="AH108" s="11" t="s">
        <v>50</v>
      </c>
      <c r="AI108" s="21" t="s">
        <v>50</v>
      </c>
      <c r="AJ108" s="21" t="s">
        <v>344</v>
      </c>
      <c r="AK108" s="54" t="s">
        <v>50</v>
      </c>
      <c r="AL108" s="1" t="s">
        <v>50</v>
      </c>
    </row>
    <row r="109" spans="1:37" ht="12.75" customHeight="1">
      <c r="A109" s="43"/>
      <c r="B109" s="13"/>
      <c r="C109" s="13"/>
      <c r="D109" s="31"/>
      <c r="E109" s="14" t="s">
        <v>50</v>
      </c>
      <c r="F109" s="14"/>
      <c r="G109" s="14"/>
      <c r="H109" s="14"/>
      <c r="I109" s="31"/>
      <c r="J109" s="31"/>
      <c r="K109" s="15"/>
      <c r="L109" s="15"/>
      <c r="M109" s="15"/>
      <c r="N109" s="15"/>
      <c r="O109" s="15"/>
      <c r="P109" s="14"/>
      <c r="Q109" s="14"/>
      <c r="R109" s="14"/>
      <c r="S109" s="14"/>
      <c r="T109" s="14"/>
      <c r="U109" s="14"/>
      <c r="V109" s="14"/>
      <c r="W109" s="14"/>
      <c r="X109" s="14"/>
      <c r="Y109" s="13"/>
      <c r="Z109" s="44"/>
      <c r="AA109" s="43"/>
      <c r="AB109" s="13"/>
      <c r="AC109" s="13"/>
      <c r="AD109" s="13"/>
      <c r="AE109" s="13"/>
      <c r="AF109" s="13"/>
      <c r="AG109" s="13"/>
      <c r="AH109" s="13"/>
      <c r="AI109" s="13"/>
      <c r="AJ109" s="13"/>
      <c r="AK109" s="44"/>
    </row>
    <row r="110" spans="1:38" ht="12.75" customHeight="1">
      <c r="A110" s="41">
        <v>518</v>
      </c>
      <c r="B110" s="10">
        <v>1297</v>
      </c>
      <c r="C110" s="10" t="s">
        <v>346</v>
      </c>
      <c r="D110" s="16">
        <v>950.08</v>
      </c>
      <c r="E110" s="20" t="s">
        <v>347</v>
      </c>
      <c r="F110" s="20" t="s">
        <v>348</v>
      </c>
      <c r="G110" s="12">
        <v>7</v>
      </c>
      <c r="H110" s="12">
        <v>24</v>
      </c>
      <c r="I110" s="16">
        <f>ROUND(G110,0)</f>
        <v>7</v>
      </c>
      <c r="J110" s="16">
        <f>ROUND(H110,0)</f>
        <v>24</v>
      </c>
      <c r="K110" s="18" t="str">
        <f>IF(I110=J110,"TAM",(CONCATENATE(G110,"/",H110)))</f>
        <v>7/24</v>
      </c>
      <c r="L110" s="29">
        <f>950.08*7/24</f>
        <v>277.1066666666667</v>
      </c>
      <c r="M110" s="30">
        <v>0</v>
      </c>
      <c r="N110" s="16" t="str">
        <f>IF(M110=0,"0",(O110*M110))</f>
        <v>0</v>
      </c>
      <c r="O110" s="16">
        <f>IF(W110=1,L110,((D110*G110/H110)-P110)/(1-V110)-S110-T110)</f>
        <v>197.7866666666667</v>
      </c>
      <c r="P110" s="16">
        <v>79.32</v>
      </c>
      <c r="Q110" s="16">
        <f>IF(U110=0,"0",O110*U110)</f>
        <v>66.20956762736894</v>
      </c>
      <c r="R110" s="17">
        <f>IF(U110=0,(((D110*G110/H110)-P110-S110-T110)/(1-V110)),(((D110*G110/H110)-P110-S110-T110)/(1-V110))-((D110*G110/H110)-P110-S110-T110)*U110/(1-V110))</f>
        <v>131.57709903929776</v>
      </c>
      <c r="S110" s="12">
        <v>0</v>
      </c>
      <c r="T110" s="12">
        <v>0</v>
      </c>
      <c r="U110" s="12">
        <v>0.334752431714485</v>
      </c>
      <c r="V110" s="12">
        <v>0</v>
      </c>
      <c r="W110" s="28">
        <f>IF(V110&gt;U110,1,V110)</f>
        <v>0</v>
      </c>
      <c r="X110" s="12">
        <v>1</v>
      </c>
      <c r="Y110" s="16">
        <v>0</v>
      </c>
      <c r="Z110" s="42" t="str">
        <f>IF(OR(W110=1,W110=0),"0",(Q110-N110))</f>
        <v>0</v>
      </c>
      <c r="AA110" s="53" t="s">
        <v>349</v>
      </c>
      <c r="AB110" s="16" t="s">
        <v>351</v>
      </c>
      <c r="AC110" s="16">
        <v>131.58</v>
      </c>
      <c r="AD110" s="16">
        <v>584.54</v>
      </c>
      <c r="AE110" s="16">
        <f>ROUND(AC110*100,0)</f>
        <v>13158</v>
      </c>
      <c r="AF110" s="16">
        <f>ROUND(AD110*100,0)</f>
        <v>58454</v>
      </c>
      <c r="AG110" s="19" t="str">
        <f>IF(AC110=AD110,"TAM",(CONCATENATE(AE110,"/",AF110)))</f>
        <v>13158/58454</v>
      </c>
      <c r="AH110" s="11" t="s">
        <v>50</v>
      </c>
      <c r="AI110" s="21" t="s">
        <v>50</v>
      </c>
      <c r="AJ110" s="21" t="s">
        <v>350</v>
      </c>
      <c r="AK110" s="54" t="s">
        <v>50</v>
      </c>
      <c r="AL110" s="1" t="s">
        <v>50</v>
      </c>
    </row>
    <row r="111" spans="1:37" ht="12.75" customHeight="1">
      <c r="A111" s="43"/>
      <c r="B111" s="13"/>
      <c r="C111" s="13"/>
      <c r="D111" s="31"/>
      <c r="E111" s="14" t="s">
        <v>50</v>
      </c>
      <c r="F111" s="14"/>
      <c r="G111" s="14"/>
      <c r="H111" s="14"/>
      <c r="I111" s="31"/>
      <c r="J111" s="31"/>
      <c r="K111" s="15"/>
      <c r="L111" s="15"/>
      <c r="M111" s="15"/>
      <c r="N111" s="15"/>
      <c r="O111" s="15"/>
      <c r="P111" s="14"/>
      <c r="Q111" s="14"/>
      <c r="R111" s="14"/>
      <c r="S111" s="14"/>
      <c r="T111" s="14"/>
      <c r="U111" s="14"/>
      <c r="V111" s="14"/>
      <c r="W111" s="14"/>
      <c r="X111" s="14"/>
      <c r="Y111" s="13"/>
      <c r="Z111" s="44"/>
      <c r="AA111" s="43"/>
      <c r="AB111" s="13"/>
      <c r="AC111" s="13"/>
      <c r="AD111" s="13"/>
      <c r="AE111" s="13"/>
      <c r="AF111" s="13"/>
      <c r="AG111" s="13"/>
      <c r="AH111" s="13"/>
      <c r="AI111" s="13"/>
      <c r="AJ111" s="13"/>
      <c r="AK111" s="44"/>
    </row>
    <row r="112" spans="1:38" ht="12.75" customHeight="1">
      <c r="A112" s="41">
        <v>519</v>
      </c>
      <c r="B112" s="10">
        <v>1297</v>
      </c>
      <c r="C112" s="10" t="s">
        <v>352</v>
      </c>
      <c r="D112" s="16">
        <v>950.08</v>
      </c>
      <c r="E112" s="20" t="s">
        <v>353</v>
      </c>
      <c r="F112" s="20" t="s">
        <v>354</v>
      </c>
      <c r="G112" s="12">
        <v>7</v>
      </c>
      <c r="H112" s="12">
        <v>24</v>
      </c>
      <c r="I112" s="16">
        <f>ROUND(G112,0)</f>
        <v>7</v>
      </c>
      <c r="J112" s="16">
        <f>ROUND(H112,0)</f>
        <v>24</v>
      </c>
      <c r="K112" s="18" t="str">
        <f>IF(I112=J112,"TAM",(CONCATENATE(G112,"/",H112)))</f>
        <v>7/24</v>
      </c>
      <c r="L112" s="29">
        <f>950.08*7/24</f>
        <v>277.1066666666667</v>
      </c>
      <c r="M112" s="30">
        <v>0</v>
      </c>
      <c r="N112" s="16" t="str">
        <f>IF(M112=0,"0",(O112*M112))</f>
        <v>0</v>
      </c>
      <c r="O112" s="16">
        <f>IF(W112=1,L112,((D112*G112/H112)-P112)/(1-V112)-S112-T112)</f>
        <v>197.7866666666667</v>
      </c>
      <c r="P112" s="16">
        <v>79.32</v>
      </c>
      <c r="Q112" s="16">
        <f>IF(U112=0,"0",O112*U112)</f>
        <v>66.20956762736894</v>
      </c>
      <c r="R112" s="17">
        <f>IF(U112=0,(((D112*G112/H112)-P112-S112-T112)/(1-V112)),(((D112*G112/H112)-P112-S112-T112)/(1-V112))-((D112*G112/H112)-P112-S112-T112)*U112/(1-V112))</f>
        <v>131.57709903929776</v>
      </c>
      <c r="S112" s="12">
        <v>0</v>
      </c>
      <c r="T112" s="12">
        <v>0</v>
      </c>
      <c r="U112" s="12">
        <v>0.334752431714485</v>
      </c>
      <c r="V112" s="12">
        <v>0</v>
      </c>
      <c r="W112" s="28">
        <f>IF(V112&gt;U112,1,V112)</f>
        <v>0</v>
      </c>
      <c r="X112" s="12">
        <v>1</v>
      </c>
      <c r="Y112" s="16">
        <v>0</v>
      </c>
      <c r="Z112" s="42" t="str">
        <f>IF(OR(W112=1,W112=0),"0",(Q112-N112))</f>
        <v>0</v>
      </c>
      <c r="AA112" s="53" t="s">
        <v>355</v>
      </c>
      <c r="AB112" s="16" t="s">
        <v>357</v>
      </c>
      <c r="AC112" s="16">
        <v>131.58</v>
      </c>
      <c r="AD112" s="16">
        <v>584.54</v>
      </c>
      <c r="AE112" s="16">
        <f>ROUND(AC112*100,0)</f>
        <v>13158</v>
      </c>
      <c r="AF112" s="16">
        <f>ROUND(AD112*100,0)</f>
        <v>58454</v>
      </c>
      <c r="AG112" s="19" t="str">
        <f>IF(AC112=AD112,"TAM",(CONCATENATE(AE112,"/",AF112)))</f>
        <v>13158/58454</v>
      </c>
      <c r="AH112" s="11" t="s">
        <v>50</v>
      </c>
      <c r="AI112" s="21" t="s">
        <v>50</v>
      </c>
      <c r="AJ112" s="21" t="s">
        <v>356</v>
      </c>
      <c r="AK112" s="54" t="s">
        <v>50</v>
      </c>
      <c r="AL112" s="1" t="s">
        <v>50</v>
      </c>
    </row>
    <row r="113" spans="1:37" ht="12.75" customHeight="1">
      <c r="A113" s="43"/>
      <c r="B113" s="13"/>
      <c r="C113" s="13"/>
      <c r="D113" s="31"/>
      <c r="E113" s="14" t="s">
        <v>50</v>
      </c>
      <c r="F113" s="14"/>
      <c r="G113" s="14"/>
      <c r="H113" s="14"/>
      <c r="I113" s="31"/>
      <c r="J113" s="31"/>
      <c r="K113" s="15"/>
      <c r="L113" s="15"/>
      <c r="M113" s="15"/>
      <c r="N113" s="15"/>
      <c r="O113" s="15"/>
      <c r="P113" s="14"/>
      <c r="Q113" s="14"/>
      <c r="R113" s="14"/>
      <c r="S113" s="14"/>
      <c r="T113" s="14"/>
      <c r="U113" s="14"/>
      <c r="V113" s="14"/>
      <c r="W113" s="14"/>
      <c r="X113" s="14"/>
      <c r="Y113" s="13"/>
      <c r="Z113" s="44"/>
      <c r="AA113" s="43"/>
      <c r="AB113" s="13"/>
      <c r="AC113" s="13"/>
      <c r="AD113" s="13"/>
      <c r="AE113" s="13"/>
      <c r="AF113" s="13"/>
      <c r="AG113" s="13"/>
      <c r="AH113" s="13"/>
      <c r="AI113" s="13"/>
      <c r="AJ113" s="13"/>
      <c r="AK113" s="44"/>
    </row>
    <row r="114" spans="1:38" ht="12.75" customHeight="1">
      <c r="A114" s="41">
        <v>460</v>
      </c>
      <c r="B114" s="10">
        <v>1140</v>
      </c>
      <c r="C114" s="10" t="s">
        <v>358</v>
      </c>
      <c r="D114" s="16">
        <v>1667.3</v>
      </c>
      <c r="E114" s="20" t="s">
        <v>359</v>
      </c>
      <c r="F114" s="20" t="s">
        <v>360</v>
      </c>
      <c r="G114" s="12">
        <v>1</v>
      </c>
      <c r="H114" s="12">
        <v>2</v>
      </c>
      <c r="I114" s="16">
        <f>ROUND(G114,0)</f>
        <v>1</v>
      </c>
      <c r="J114" s="16">
        <f>ROUND(H114,0)</f>
        <v>2</v>
      </c>
      <c r="K114" s="18" t="str">
        <f>IF(I114=J114,"TAM",(CONCATENATE(G114,"/",H114)))</f>
        <v>1/2</v>
      </c>
      <c r="L114" s="29">
        <f>1667.3*1/2</f>
        <v>833.65</v>
      </c>
      <c r="M114" s="30">
        <v>0</v>
      </c>
      <c r="N114" s="16" t="str">
        <f>IF(M114=0,"0",(O114*M114))</f>
        <v>0</v>
      </c>
      <c r="O114" s="16">
        <f>IF(W114=1,L114,((D114*G114/H114)-P114)/(1-V114)-S114-T114)</f>
        <v>833.65</v>
      </c>
      <c r="P114" s="16">
        <v>0</v>
      </c>
      <c r="Q114" s="16">
        <f>IF(U114=0,"0",O114*U114)</f>
        <v>279.0663646987804</v>
      </c>
      <c r="R114" s="17">
        <f>IF(U114=0,(((D114*G114/H114)-P114-S114-T114)/(1-V114)),(((D114*G114/H114)-P114-S114-T114)/(1-V114))-((D114*G114/H114)-P114-S114-T114)*U114/(1-V114))</f>
        <v>554.5836353012196</v>
      </c>
      <c r="S114" s="12">
        <v>0</v>
      </c>
      <c r="T114" s="12">
        <v>0</v>
      </c>
      <c r="U114" s="12">
        <v>0.334752431714485</v>
      </c>
      <c r="V114" s="12">
        <v>0</v>
      </c>
      <c r="W114" s="28">
        <f>IF(V114&gt;U114,1,V114)</f>
        <v>0</v>
      </c>
      <c r="X114" s="12">
        <v>1</v>
      </c>
      <c r="Y114" s="16">
        <v>0</v>
      </c>
      <c r="Z114" s="42" t="str">
        <f>IF(OR(W114=1,W114=0),"0",(Q114-N114))</f>
        <v>0</v>
      </c>
      <c r="AA114" s="53" t="s">
        <v>361</v>
      </c>
      <c r="AB114" s="16" t="s">
        <v>363</v>
      </c>
      <c r="AC114" s="16">
        <v>71.01</v>
      </c>
      <c r="AD114" s="16">
        <v>597.42</v>
      </c>
      <c r="AE114" s="16">
        <f>ROUND(AC114*100,0)</f>
        <v>7101</v>
      </c>
      <c r="AF114" s="16">
        <f>ROUND(AD114*100,0)</f>
        <v>59742</v>
      </c>
      <c r="AG114" s="19" t="str">
        <f>IF(AC114=AD114,"TAM",(CONCATENATE(AE114,"/",AF114)))</f>
        <v>7101/59742</v>
      </c>
      <c r="AH114" s="11" t="s">
        <v>50</v>
      </c>
      <c r="AI114" s="21" t="s">
        <v>50</v>
      </c>
      <c r="AJ114" s="21" t="s">
        <v>362</v>
      </c>
      <c r="AK114" s="54" t="s">
        <v>50</v>
      </c>
      <c r="AL114" s="1" t="s">
        <v>50</v>
      </c>
    </row>
    <row r="115" spans="1:37" ht="12.75" customHeight="1">
      <c r="A115" s="43"/>
      <c r="B115" s="13"/>
      <c r="C115" s="13"/>
      <c r="D115" s="31"/>
      <c r="E115" s="14" t="s">
        <v>50</v>
      </c>
      <c r="F115" s="14"/>
      <c r="G115" s="14"/>
      <c r="H115" s="14"/>
      <c r="I115" s="31"/>
      <c r="J115" s="31"/>
      <c r="K115" s="15"/>
      <c r="L115" s="15"/>
      <c r="M115" s="15"/>
      <c r="N115" s="15"/>
      <c r="O115" s="15"/>
      <c r="P115" s="14"/>
      <c r="Q115" s="14"/>
      <c r="R115" s="14"/>
      <c r="S115" s="14"/>
      <c r="T115" s="14"/>
      <c r="U115" s="14"/>
      <c r="V115" s="14"/>
      <c r="W115" s="14"/>
      <c r="X115" s="14"/>
      <c r="Y115" s="13"/>
      <c r="Z115" s="44"/>
      <c r="AA115" s="43"/>
      <c r="AB115" s="13"/>
      <c r="AC115" s="13"/>
      <c r="AD115" s="13"/>
      <c r="AE115" s="13"/>
      <c r="AF115" s="13"/>
      <c r="AG115" s="13"/>
      <c r="AH115" s="13"/>
      <c r="AI115" s="13"/>
      <c r="AJ115" s="13"/>
      <c r="AK115" s="44"/>
    </row>
    <row r="116" spans="1:38" ht="12.75" customHeight="1">
      <c r="A116" s="41">
        <v>459</v>
      </c>
      <c r="B116" s="10">
        <v>1140</v>
      </c>
      <c r="C116" s="10" t="s">
        <v>364</v>
      </c>
      <c r="D116" s="16">
        <v>1667.3</v>
      </c>
      <c r="E116" s="20" t="s">
        <v>365</v>
      </c>
      <c r="F116" s="20" t="s">
        <v>366</v>
      </c>
      <c r="G116" s="12">
        <v>1</v>
      </c>
      <c r="H116" s="12">
        <v>2</v>
      </c>
      <c r="I116" s="16">
        <f>ROUND(G116,0)</f>
        <v>1</v>
      </c>
      <c r="J116" s="16">
        <f>ROUND(H116,0)</f>
        <v>2</v>
      </c>
      <c r="K116" s="18" t="str">
        <f>IF(I116=J116,"TAM",(CONCATENATE(G116,"/",H116)))</f>
        <v>1/2</v>
      </c>
      <c r="L116" s="29">
        <f>1667.3*1/2</f>
        <v>833.65</v>
      </c>
      <c r="M116" s="30">
        <v>0</v>
      </c>
      <c r="N116" s="16" t="str">
        <f>IF(M116=0,"0",(O116*M116))</f>
        <v>0</v>
      </c>
      <c r="O116" s="16">
        <f>IF(W116=1,L116,((D116*G116/H116)-P116)/(1-V116)-S116-T116)</f>
        <v>833.65</v>
      </c>
      <c r="P116" s="16">
        <v>0</v>
      </c>
      <c r="Q116" s="16">
        <f>IF(U116=0,"0",O116*U116)</f>
        <v>279.0663646987804</v>
      </c>
      <c r="R116" s="17">
        <f>IF(U116=0,(((D116*G116/H116)-P116-S116-T116)/(1-V116)),(((D116*G116/H116)-P116-S116-T116)/(1-V116))-((D116*G116/H116)-P116-S116-T116)*U116/(1-V116))</f>
        <v>554.5836353012196</v>
      </c>
      <c r="S116" s="12">
        <v>0</v>
      </c>
      <c r="T116" s="12">
        <v>0</v>
      </c>
      <c r="U116" s="12">
        <v>0.334752431714485</v>
      </c>
      <c r="V116" s="12">
        <v>0</v>
      </c>
      <c r="W116" s="28">
        <f>IF(V116&gt;U116,1,V116)</f>
        <v>0</v>
      </c>
      <c r="X116" s="12">
        <v>1</v>
      </c>
      <c r="Y116" s="16">
        <v>0</v>
      </c>
      <c r="Z116" s="42" t="str">
        <f>IF(OR(W116=1,W116=0),"0",(Q116-N116))</f>
        <v>0</v>
      </c>
      <c r="AA116" s="53" t="s">
        <v>367</v>
      </c>
      <c r="AB116" s="16" t="s">
        <v>369</v>
      </c>
      <c r="AC116" s="16">
        <v>71.02</v>
      </c>
      <c r="AD116" s="16">
        <v>597.42</v>
      </c>
      <c r="AE116" s="16">
        <f>ROUND(AC116*100,0)</f>
        <v>7102</v>
      </c>
      <c r="AF116" s="16">
        <f>ROUND(AD116*100,0)</f>
        <v>59742</v>
      </c>
      <c r="AG116" s="19" t="str">
        <f>IF(AC116=AD116,"TAM",(CONCATENATE(AE116,"/",AF116)))</f>
        <v>7102/59742</v>
      </c>
      <c r="AH116" s="11" t="s">
        <v>50</v>
      </c>
      <c r="AI116" s="21" t="s">
        <v>50</v>
      </c>
      <c r="AJ116" s="21" t="s">
        <v>368</v>
      </c>
      <c r="AK116" s="54" t="s">
        <v>50</v>
      </c>
      <c r="AL116" s="1" t="s">
        <v>50</v>
      </c>
    </row>
    <row r="117" spans="1:37" ht="12.75" customHeight="1">
      <c r="A117" s="43"/>
      <c r="B117" s="13"/>
      <c r="C117" s="13"/>
      <c r="D117" s="31"/>
      <c r="E117" s="14" t="s">
        <v>50</v>
      </c>
      <c r="F117" s="14"/>
      <c r="G117" s="14"/>
      <c r="H117" s="14"/>
      <c r="I117" s="31"/>
      <c r="J117" s="31"/>
      <c r="K117" s="15"/>
      <c r="L117" s="15"/>
      <c r="M117" s="15"/>
      <c r="N117" s="15"/>
      <c r="O117" s="15"/>
      <c r="P117" s="14"/>
      <c r="Q117" s="14"/>
      <c r="R117" s="14"/>
      <c r="S117" s="14"/>
      <c r="T117" s="14"/>
      <c r="U117" s="14"/>
      <c r="V117" s="14"/>
      <c r="W117" s="14"/>
      <c r="X117" s="14"/>
      <c r="Y117" s="13"/>
      <c r="Z117" s="44"/>
      <c r="AA117" s="43"/>
      <c r="AB117" s="13"/>
      <c r="AC117" s="13"/>
      <c r="AD117" s="13"/>
      <c r="AE117" s="13"/>
      <c r="AF117" s="13"/>
      <c r="AG117" s="13"/>
      <c r="AH117" s="13"/>
      <c r="AI117" s="13"/>
      <c r="AJ117" s="13"/>
      <c r="AK117" s="44"/>
    </row>
    <row r="118" spans="1:38" ht="12.75" customHeight="1">
      <c r="A118" s="41">
        <v>522</v>
      </c>
      <c r="B118" s="10">
        <v>1298</v>
      </c>
      <c r="C118" s="10" t="s">
        <v>370</v>
      </c>
      <c r="D118" s="16">
        <v>684.54</v>
      </c>
      <c r="E118" s="20" t="s">
        <v>371</v>
      </c>
      <c r="F118" s="20" t="s">
        <v>372</v>
      </c>
      <c r="G118" s="12">
        <v>1</v>
      </c>
      <c r="H118" s="12">
        <v>2</v>
      </c>
      <c r="I118" s="16">
        <f>ROUND(G118,0)</f>
        <v>1</v>
      </c>
      <c r="J118" s="16">
        <f>ROUND(H118,0)</f>
        <v>2</v>
      </c>
      <c r="K118" s="18" t="str">
        <f>IF(I118=J118,"TAM",(CONCATENATE(G118,"/",H118)))</f>
        <v>1/2</v>
      </c>
      <c r="L118" s="29">
        <f>684.54*1/2</f>
        <v>342.27</v>
      </c>
      <c r="M118" s="30">
        <v>0</v>
      </c>
      <c r="N118" s="16" t="str">
        <f>IF(M118=0,"0",(O118*M118))</f>
        <v>0</v>
      </c>
      <c r="O118" s="16">
        <f>IF(W118=1,L118,((D118*G118/H118)-P118)/(1-V118)-S118-T118)</f>
        <v>342.27</v>
      </c>
      <c r="P118" s="16">
        <v>0</v>
      </c>
      <c r="Q118" s="16">
        <f>IF(U118=0,"0",O118*U118)</f>
        <v>114.57571480291676</v>
      </c>
      <c r="R118" s="17">
        <f>IF(U118=0,(((D118*G118/H118)-P118-S118-T118)/(1-V118)),(((D118*G118/H118)-P118-S118-T118)/(1-V118))-((D118*G118/H118)-P118-S118-T118)*U118/(1-V118))</f>
        <v>227.69428519708322</v>
      </c>
      <c r="S118" s="12">
        <v>0</v>
      </c>
      <c r="T118" s="12">
        <v>0</v>
      </c>
      <c r="U118" s="12">
        <v>0.334752431714485</v>
      </c>
      <c r="V118" s="12">
        <v>0</v>
      </c>
      <c r="W118" s="28">
        <f>IF(V118&gt;U118,1,V118)</f>
        <v>0</v>
      </c>
      <c r="X118" s="12">
        <v>1</v>
      </c>
      <c r="Y118" s="16">
        <v>0</v>
      </c>
      <c r="Z118" s="42" t="str">
        <f>IF(OR(W118=1,W118=0),"0",(Q118-N118))</f>
        <v>0</v>
      </c>
      <c r="AA118" s="53" t="s">
        <v>373</v>
      </c>
      <c r="AB118" s="16" t="s">
        <v>375</v>
      </c>
      <c r="AC118" s="16">
        <v>227.7</v>
      </c>
      <c r="AD118" s="16">
        <v>597.42</v>
      </c>
      <c r="AE118" s="16">
        <f>ROUND(AC118*100,0)</f>
        <v>22770</v>
      </c>
      <c r="AF118" s="16">
        <f>ROUND(AD118*100,0)</f>
        <v>59742</v>
      </c>
      <c r="AG118" s="19" t="str">
        <f>IF(AC118=AD118,"TAM",(CONCATENATE(AE118,"/",AF118)))</f>
        <v>22770/59742</v>
      </c>
      <c r="AH118" s="11" t="s">
        <v>50</v>
      </c>
      <c r="AI118" s="21" t="s">
        <v>50</v>
      </c>
      <c r="AJ118" s="21" t="s">
        <v>374</v>
      </c>
      <c r="AK118" s="54" t="s">
        <v>50</v>
      </c>
      <c r="AL118" s="1" t="s">
        <v>50</v>
      </c>
    </row>
    <row r="119" spans="1:37" ht="12.75" customHeight="1">
      <c r="A119" s="43"/>
      <c r="B119" s="13"/>
      <c r="C119" s="13"/>
      <c r="D119" s="31"/>
      <c r="E119" s="14" t="s">
        <v>50</v>
      </c>
      <c r="F119" s="14"/>
      <c r="G119" s="14"/>
      <c r="H119" s="14"/>
      <c r="I119" s="31"/>
      <c r="J119" s="31"/>
      <c r="K119" s="15"/>
      <c r="L119" s="15"/>
      <c r="M119" s="15"/>
      <c r="N119" s="15"/>
      <c r="O119" s="15"/>
      <c r="P119" s="14"/>
      <c r="Q119" s="14"/>
      <c r="R119" s="14"/>
      <c r="S119" s="14"/>
      <c r="T119" s="14"/>
      <c r="U119" s="14"/>
      <c r="V119" s="14"/>
      <c r="W119" s="14"/>
      <c r="X119" s="14"/>
      <c r="Y119" s="13"/>
      <c r="Z119" s="44"/>
      <c r="AA119" s="43"/>
      <c r="AB119" s="13"/>
      <c r="AC119" s="13"/>
      <c r="AD119" s="13"/>
      <c r="AE119" s="13"/>
      <c r="AF119" s="13"/>
      <c r="AG119" s="13"/>
      <c r="AH119" s="13"/>
      <c r="AI119" s="13"/>
      <c r="AJ119" s="13"/>
      <c r="AK119" s="44"/>
    </row>
    <row r="120" spans="1:38" ht="12.75" customHeight="1">
      <c r="A120" s="41">
        <v>523</v>
      </c>
      <c r="B120" s="10">
        <v>1298</v>
      </c>
      <c r="C120" s="10" t="s">
        <v>376</v>
      </c>
      <c r="D120" s="16">
        <v>684.54</v>
      </c>
      <c r="E120" s="20" t="s">
        <v>377</v>
      </c>
      <c r="F120" s="20" t="s">
        <v>378</v>
      </c>
      <c r="G120" s="12">
        <v>1</v>
      </c>
      <c r="H120" s="12">
        <v>2</v>
      </c>
      <c r="I120" s="16">
        <f>ROUND(G120,0)</f>
        <v>1</v>
      </c>
      <c r="J120" s="16">
        <f>ROUND(H120,0)</f>
        <v>2</v>
      </c>
      <c r="K120" s="18" t="str">
        <f>IF(I120=J120,"TAM",(CONCATENATE(G120,"/",H120)))</f>
        <v>1/2</v>
      </c>
      <c r="L120" s="29">
        <f>684.54*1/2</f>
        <v>342.27</v>
      </c>
      <c r="M120" s="30">
        <v>0</v>
      </c>
      <c r="N120" s="16" t="str">
        <f>IF(M120=0,"0",(O120*M120))</f>
        <v>0</v>
      </c>
      <c r="O120" s="16">
        <f>IF(W120=1,L120,((D120*G120/H120)-P120)/(1-V120)-S120-T120)</f>
        <v>342.27</v>
      </c>
      <c r="P120" s="16">
        <v>0</v>
      </c>
      <c r="Q120" s="16">
        <f>IF(U120=0,"0",O120*U120)</f>
        <v>114.57571480291676</v>
      </c>
      <c r="R120" s="17">
        <f>IF(U120=0,(((D120*G120/H120)-P120-S120-T120)/(1-V120)),(((D120*G120/H120)-P120-S120-T120)/(1-V120))-((D120*G120/H120)-P120-S120-T120)*U120/(1-V120))</f>
        <v>227.69428519708322</v>
      </c>
      <c r="S120" s="12">
        <v>0</v>
      </c>
      <c r="T120" s="12">
        <v>0</v>
      </c>
      <c r="U120" s="12">
        <v>0.334752431714485</v>
      </c>
      <c r="V120" s="12">
        <v>0</v>
      </c>
      <c r="W120" s="28">
        <f>IF(V120&gt;U120,1,V120)</f>
        <v>0</v>
      </c>
      <c r="X120" s="12">
        <v>1</v>
      </c>
      <c r="Y120" s="16">
        <v>0</v>
      </c>
      <c r="Z120" s="42" t="str">
        <f>IF(OR(W120=1,W120=0),"0",(Q120-N120))</f>
        <v>0</v>
      </c>
      <c r="AA120" s="53" t="s">
        <v>379</v>
      </c>
      <c r="AB120" s="16" t="s">
        <v>381</v>
      </c>
      <c r="AC120" s="16">
        <v>227.69</v>
      </c>
      <c r="AD120" s="16">
        <v>597.42</v>
      </c>
      <c r="AE120" s="16">
        <f>ROUND(AC120*100,0)</f>
        <v>22769</v>
      </c>
      <c r="AF120" s="16">
        <f>ROUND(AD120*100,0)</f>
        <v>59742</v>
      </c>
      <c r="AG120" s="19" t="str">
        <f>IF(AC120=AD120,"TAM",(CONCATENATE(AE120,"/",AF120)))</f>
        <v>22769/59742</v>
      </c>
      <c r="AH120" s="11" t="s">
        <v>50</v>
      </c>
      <c r="AI120" s="21" t="s">
        <v>50</v>
      </c>
      <c r="AJ120" s="21" t="s">
        <v>380</v>
      </c>
      <c r="AK120" s="54" t="s">
        <v>50</v>
      </c>
      <c r="AL120" s="1" t="s">
        <v>50</v>
      </c>
    </row>
    <row r="121" spans="1:37" ht="12.75" customHeight="1">
      <c r="A121" s="43"/>
      <c r="B121" s="13"/>
      <c r="C121" s="13"/>
      <c r="D121" s="31"/>
      <c r="E121" s="14" t="s">
        <v>50</v>
      </c>
      <c r="F121" s="14"/>
      <c r="G121" s="14"/>
      <c r="H121" s="14"/>
      <c r="I121" s="31"/>
      <c r="J121" s="31"/>
      <c r="K121" s="15"/>
      <c r="L121" s="15"/>
      <c r="M121" s="15"/>
      <c r="N121" s="15"/>
      <c r="O121" s="15"/>
      <c r="P121" s="14"/>
      <c r="Q121" s="14"/>
      <c r="R121" s="14"/>
      <c r="S121" s="14"/>
      <c r="T121" s="14"/>
      <c r="U121" s="14"/>
      <c r="V121" s="14"/>
      <c r="W121" s="14"/>
      <c r="X121" s="14"/>
      <c r="Y121" s="13"/>
      <c r="Z121" s="44"/>
      <c r="AA121" s="43"/>
      <c r="AB121" s="13"/>
      <c r="AC121" s="13"/>
      <c r="AD121" s="13"/>
      <c r="AE121" s="13"/>
      <c r="AF121" s="13"/>
      <c r="AG121" s="13"/>
      <c r="AH121" s="13"/>
      <c r="AI121" s="13"/>
      <c r="AJ121" s="13"/>
      <c r="AK121" s="44"/>
    </row>
    <row r="122" spans="1:38" ht="12.75" customHeight="1">
      <c r="A122" s="41">
        <v>458</v>
      </c>
      <c r="B122" s="10">
        <v>1139</v>
      </c>
      <c r="C122" s="10" t="s">
        <v>382</v>
      </c>
      <c r="D122" s="16">
        <v>3113.93</v>
      </c>
      <c r="E122" s="20" t="s">
        <v>383</v>
      </c>
      <c r="F122" s="20" t="s">
        <v>384</v>
      </c>
      <c r="G122" s="12">
        <v>1</v>
      </c>
      <c r="H122" s="12">
        <v>1</v>
      </c>
      <c r="I122" s="16">
        <f>ROUND(G122,0)</f>
        <v>1</v>
      </c>
      <c r="J122" s="16">
        <f>ROUND(H122,0)</f>
        <v>1</v>
      </c>
      <c r="K122" s="18" t="str">
        <f>IF(I122=J122,"TAM",(CONCATENATE(G122,"/",H122)))</f>
        <v>TAM</v>
      </c>
      <c r="L122" s="29">
        <f>3113.93*1/1</f>
        <v>3113.93</v>
      </c>
      <c r="M122" s="30">
        <v>0</v>
      </c>
      <c r="N122" s="16" t="str">
        <f>IF(M122=0,"0",(O122*M122))</f>
        <v>0</v>
      </c>
      <c r="O122" s="16">
        <f>IF(W122=1,L122,((D122*G122/H122)-P122)/(1-V122)-S122-T122)</f>
        <v>3113.93</v>
      </c>
      <c r="P122" s="16">
        <v>0</v>
      </c>
      <c r="Q122" s="16">
        <f>IF(U122=0,"0",O122*U122)</f>
        <v>1042.3956396886863</v>
      </c>
      <c r="R122" s="17">
        <f>IF(U122=0,(((D122*G122/H122)-P122-S122-T122)/(1-V122)),(((D122*G122/H122)-P122-S122-T122)/(1-V122))-((D122*G122/H122)-P122-S122-T122)*U122/(1-V122))</f>
        <v>2071.5343603113133</v>
      </c>
      <c r="S122" s="12">
        <v>0</v>
      </c>
      <c r="T122" s="12">
        <v>0</v>
      </c>
      <c r="U122" s="12">
        <v>0.334752431714485</v>
      </c>
      <c r="V122" s="12">
        <v>0</v>
      </c>
      <c r="W122" s="28">
        <f>IF(V122&gt;U122,1,V122)</f>
        <v>0</v>
      </c>
      <c r="X122" s="12">
        <v>1</v>
      </c>
      <c r="Y122" s="16">
        <v>0</v>
      </c>
      <c r="Z122" s="42" t="str">
        <f>IF(OR(W122=1,W122=0),"0",(Q122-N122))</f>
        <v>0</v>
      </c>
      <c r="AA122" s="53" t="s">
        <v>385</v>
      </c>
      <c r="AB122" s="16" t="s">
        <v>387</v>
      </c>
      <c r="AC122" s="16">
        <v>180.55</v>
      </c>
      <c r="AD122" s="16">
        <v>475.72</v>
      </c>
      <c r="AE122" s="16">
        <f>ROUND(AC122*100,0)</f>
        <v>18055</v>
      </c>
      <c r="AF122" s="16">
        <f>ROUND(AD122*100,0)</f>
        <v>47572</v>
      </c>
      <c r="AG122" s="19" t="str">
        <f>IF(AC122=AD122,"TAM",(CONCATENATE(AE122,"/",AF122)))</f>
        <v>18055/47572</v>
      </c>
      <c r="AH122" s="11" t="s">
        <v>50</v>
      </c>
      <c r="AI122" s="21" t="s">
        <v>50</v>
      </c>
      <c r="AJ122" s="21" t="s">
        <v>386</v>
      </c>
      <c r="AK122" s="54" t="s">
        <v>50</v>
      </c>
      <c r="AL122" s="1" t="s">
        <v>50</v>
      </c>
    </row>
    <row r="123" spans="1:37" ht="12.75" customHeight="1">
      <c r="A123" s="43"/>
      <c r="B123" s="13"/>
      <c r="C123" s="13"/>
      <c r="D123" s="31"/>
      <c r="E123" s="14" t="s">
        <v>50</v>
      </c>
      <c r="F123" s="14"/>
      <c r="G123" s="14"/>
      <c r="H123" s="14"/>
      <c r="I123" s="31"/>
      <c r="J123" s="31"/>
      <c r="K123" s="15"/>
      <c r="L123" s="15"/>
      <c r="M123" s="15"/>
      <c r="N123" s="15"/>
      <c r="O123" s="15"/>
      <c r="P123" s="14"/>
      <c r="Q123" s="14"/>
      <c r="R123" s="14"/>
      <c r="S123" s="14"/>
      <c r="T123" s="14"/>
      <c r="U123" s="14"/>
      <c r="V123" s="14"/>
      <c r="W123" s="14"/>
      <c r="X123" s="14"/>
      <c r="Y123" s="13"/>
      <c r="Z123" s="44"/>
      <c r="AA123" s="43"/>
      <c r="AB123" s="13"/>
      <c r="AC123" s="13"/>
      <c r="AD123" s="13"/>
      <c r="AE123" s="13"/>
      <c r="AF123" s="13"/>
      <c r="AG123" s="13"/>
      <c r="AH123" s="13"/>
      <c r="AI123" s="13"/>
      <c r="AJ123" s="13"/>
      <c r="AK123" s="44"/>
    </row>
    <row r="124" spans="1:38" ht="12.75" customHeight="1">
      <c r="A124" s="41">
        <v>528</v>
      </c>
      <c r="B124" s="10">
        <v>1301</v>
      </c>
      <c r="C124" s="10" t="s">
        <v>388</v>
      </c>
      <c r="D124" s="16">
        <v>443.7</v>
      </c>
      <c r="E124" s="20" t="s">
        <v>389</v>
      </c>
      <c r="F124" s="20" t="s">
        <v>390</v>
      </c>
      <c r="G124" s="12">
        <v>1</v>
      </c>
      <c r="H124" s="12">
        <v>1</v>
      </c>
      <c r="I124" s="16">
        <f>ROUND(G124,0)</f>
        <v>1</v>
      </c>
      <c r="J124" s="16">
        <f>ROUND(H124,0)</f>
        <v>1</v>
      </c>
      <c r="K124" s="18" t="str">
        <f>IF(I124=J124,"TAM",(CONCATENATE(G124,"/",H124)))</f>
        <v>TAM</v>
      </c>
      <c r="L124" s="29">
        <f>443.7*1/1</f>
        <v>443.7</v>
      </c>
      <c r="M124" s="30">
        <v>0</v>
      </c>
      <c r="N124" s="16" t="str">
        <f>IF(M124=0,"0",(O124*M124))</f>
        <v>0</v>
      </c>
      <c r="O124" s="16">
        <f>IF(W124=1,L124,((D124*G124/H124)-P124)/(1-V124)-S124-T124)</f>
        <v>443.7</v>
      </c>
      <c r="P124" s="16">
        <v>0</v>
      </c>
      <c r="Q124" s="16">
        <f>IF(U124=0,"0",O124*U124)</f>
        <v>148.529653951717</v>
      </c>
      <c r="R124" s="17">
        <f>IF(U124=0,(((D124*G124/H124)-P124-S124-T124)/(1-V124)),(((D124*G124/H124)-P124-S124-T124)/(1-V124))-((D124*G124/H124)-P124-S124-T124)*U124/(1-V124))</f>
        <v>295.170346048283</v>
      </c>
      <c r="S124" s="12">
        <v>0</v>
      </c>
      <c r="T124" s="12">
        <v>0</v>
      </c>
      <c r="U124" s="12">
        <v>0.334752431714485</v>
      </c>
      <c r="V124" s="12">
        <v>0</v>
      </c>
      <c r="W124" s="28">
        <f>IF(V124&gt;U124,1,V124)</f>
        <v>0</v>
      </c>
      <c r="X124" s="12">
        <v>1</v>
      </c>
      <c r="Y124" s="16">
        <v>0</v>
      </c>
      <c r="Z124" s="42" t="str">
        <f>IF(OR(W124=1,W124=0),"0",(Q124-N124))</f>
        <v>0</v>
      </c>
      <c r="AA124" s="53" t="s">
        <v>392</v>
      </c>
      <c r="AB124" s="16" t="s">
        <v>394</v>
      </c>
      <c r="AC124" s="16">
        <v>295.17</v>
      </c>
      <c r="AD124" s="16">
        <v>475.72</v>
      </c>
      <c r="AE124" s="16">
        <f>ROUND(AC124*100,0)</f>
        <v>29517</v>
      </c>
      <c r="AF124" s="16">
        <f>ROUND(AD124*100,0)</f>
        <v>47572</v>
      </c>
      <c r="AG124" s="19" t="str">
        <f>IF(AC124=AD124,"TAM",(CONCATENATE(AE124,"/",AF124)))</f>
        <v>29517/47572</v>
      </c>
      <c r="AH124" s="11" t="s">
        <v>50</v>
      </c>
      <c r="AI124" s="21" t="s">
        <v>50</v>
      </c>
      <c r="AJ124" s="21" t="s">
        <v>393</v>
      </c>
      <c r="AK124" s="54" t="s">
        <v>50</v>
      </c>
      <c r="AL124" s="1" t="s">
        <v>50</v>
      </c>
    </row>
    <row r="125" spans="1:37" ht="21" customHeight="1">
      <c r="A125" s="43"/>
      <c r="B125" s="13"/>
      <c r="C125" s="13"/>
      <c r="D125" s="31"/>
      <c r="E125" s="34" t="s">
        <v>391</v>
      </c>
      <c r="F125" s="14"/>
      <c r="G125" s="14"/>
      <c r="H125" s="14"/>
      <c r="I125" s="31"/>
      <c r="J125" s="31"/>
      <c r="K125" s="15"/>
      <c r="L125" s="15"/>
      <c r="M125" s="15"/>
      <c r="N125" s="15"/>
      <c r="O125" s="15"/>
      <c r="P125" s="14"/>
      <c r="Q125" s="14"/>
      <c r="R125" s="14"/>
      <c r="S125" s="14"/>
      <c r="T125" s="14"/>
      <c r="U125" s="14"/>
      <c r="V125" s="14"/>
      <c r="W125" s="14"/>
      <c r="X125" s="14"/>
      <c r="Y125" s="13"/>
      <c r="Z125" s="44"/>
      <c r="AA125" s="43"/>
      <c r="AB125" s="13"/>
      <c r="AC125" s="13"/>
      <c r="AD125" s="13"/>
      <c r="AE125" s="13"/>
      <c r="AF125" s="13"/>
      <c r="AG125" s="13"/>
      <c r="AH125" s="13"/>
      <c r="AI125" s="13"/>
      <c r="AJ125" s="13"/>
      <c r="AK125" s="44"/>
    </row>
    <row r="126" spans="1:38" ht="12.75" customHeight="1">
      <c r="A126" s="41">
        <v>420</v>
      </c>
      <c r="B126" s="10">
        <v>1118</v>
      </c>
      <c r="C126" s="10" t="s">
        <v>395</v>
      </c>
      <c r="D126" s="16">
        <v>43.35</v>
      </c>
      <c r="E126" s="20" t="s">
        <v>396</v>
      </c>
      <c r="F126" s="20" t="s">
        <v>397</v>
      </c>
      <c r="G126" s="12">
        <v>1</v>
      </c>
      <c r="H126" s="12">
        <v>3</v>
      </c>
      <c r="I126" s="16">
        <f>ROUND(G126,0)</f>
        <v>1</v>
      </c>
      <c r="J126" s="16">
        <f>ROUND(H126,0)</f>
        <v>3</v>
      </c>
      <c r="K126" s="18" t="str">
        <f>IF(I126=J126,"TAM",(CONCATENATE(G126,"/",H126)))</f>
        <v>1/3</v>
      </c>
      <c r="L126" s="29">
        <f>43.35*1/3</f>
        <v>14.45</v>
      </c>
      <c r="M126" s="30">
        <v>0</v>
      </c>
      <c r="N126" s="16" t="str">
        <f>IF(M126=0,"0",(O126*M126))</f>
        <v>0</v>
      </c>
      <c r="O126" s="16">
        <f>IF(W126=1,L126,((D126*G126/H126)-P126)/(1-V126)-S126-T126)</f>
        <v>14.450000000000001</v>
      </c>
      <c r="P126" s="16">
        <v>0</v>
      </c>
      <c r="Q126" s="16">
        <f>IF(U126=0,"0",O126*U126)</f>
        <v>4.837172638274309</v>
      </c>
      <c r="R126" s="17">
        <f>IF(U126=0,(((D126*G126/H126)-P126-S126-T126)/(1-V126)),(((D126*G126/H126)-P126-S126-T126)/(1-V126))-((D126*G126/H126)-P126-S126-T126)*U126/(1-V126))</f>
        <v>9.612827361725692</v>
      </c>
      <c r="S126" s="12">
        <v>0</v>
      </c>
      <c r="T126" s="12">
        <v>0</v>
      </c>
      <c r="U126" s="12">
        <v>0.334752431714485</v>
      </c>
      <c r="V126" s="12">
        <v>0</v>
      </c>
      <c r="W126" s="28">
        <f>IF(V126&gt;U126,1,V126)</f>
        <v>0</v>
      </c>
      <c r="X126" s="12">
        <v>1</v>
      </c>
      <c r="Y126" s="16">
        <v>0</v>
      </c>
      <c r="Z126" s="42" t="str">
        <f>IF(OR(W126=1,W126=0),"0",(Q126-N126))</f>
        <v>0</v>
      </c>
      <c r="AA126" s="53" t="s">
        <v>398</v>
      </c>
      <c r="AB126" s="16" t="s">
        <v>399</v>
      </c>
      <c r="AC126" s="16">
        <v>9.62</v>
      </c>
      <c r="AD126" s="16">
        <v>711.06</v>
      </c>
      <c r="AE126" s="16">
        <f>ROUND(AC126*100,0)</f>
        <v>962</v>
      </c>
      <c r="AF126" s="16">
        <f>ROUND(AD126*100,0)</f>
        <v>71106</v>
      </c>
      <c r="AG126" s="19" t="str">
        <f>IF(AC126=AD126,"TAM",(CONCATENATE(AE126,"/",AF126)))</f>
        <v>962/71106</v>
      </c>
      <c r="AH126" s="11" t="s">
        <v>50</v>
      </c>
      <c r="AI126" s="21" t="s">
        <v>50</v>
      </c>
      <c r="AJ126" s="80" t="s">
        <v>2427</v>
      </c>
      <c r="AK126" s="54" t="s">
        <v>50</v>
      </c>
      <c r="AL126" s="1" t="s">
        <v>50</v>
      </c>
    </row>
    <row r="127" spans="1:37" ht="12.75" customHeight="1">
      <c r="A127" s="43"/>
      <c r="B127" s="13"/>
      <c r="C127" s="13"/>
      <c r="D127" s="31"/>
      <c r="E127" s="14" t="s">
        <v>50</v>
      </c>
      <c r="F127" s="14"/>
      <c r="G127" s="14"/>
      <c r="H127" s="14"/>
      <c r="I127" s="31"/>
      <c r="J127" s="31"/>
      <c r="K127" s="15"/>
      <c r="L127" s="15"/>
      <c r="M127" s="15"/>
      <c r="N127" s="15"/>
      <c r="O127" s="15"/>
      <c r="P127" s="14"/>
      <c r="Q127" s="14"/>
      <c r="R127" s="14"/>
      <c r="S127" s="14"/>
      <c r="T127" s="14"/>
      <c r="U127" s="14"/>
      <c r="V127" s="14"/>
      <c r="W127" s="14"/>
      <c r="X127" s="14"/>
      <c r="Y127" s="13"/>
      <c r="Z127" s="44"/>
      <c r="AA127" s="43"/>
      <c r="AB127" s="13"/>
      <c r="AC127" s="13"/>
      <c r="AD127" s="13"/>
      <c r="AE127" s="13"/>
      <c r="AF127" s="13"/>
      <c r="AG127" s="13"/>
      <c r="AH127" s="13"/>
      <c r="AI127" s="13"/>
      <c r="AJ127" s="81"/>
      <c r="AK127" s="44"/>
    </row>
    <row r="128" spans="1:38" ht="12.75" customHeight="1">
      <c r="A128" s="41">
        <v>422</v>
      </c>
      <c r="B128" s="10">
        <v>1118</v>
      </c>
      <c r="C128" s="10" t="s">
        <v>400</v>
      </c>
      <c r="D128" s="16">
        <v>43.35</v>
      </c>
      <c r="E128" s="20" t="s">
        <v>401</v>
      </c>
      <c r="F128" s="20" t="s">
        <v>402</v>
      </c>
      <c r="G128" s="12">
        <v>1</v>
      </c>
      <c r="H128" s="12">
        <v>3</v>
      </c>
      <c r="I128" s="16">
        <f>ROUND(G128,0)</f>
        <v>1</v>
      </c>
      <c r="J128" s="16">
        <f>ROUND(H128,0)</f>
        <v>3</v>
      </c>
      <c r="K128" s="18" t="str">
        <f>IF(I128=J128,"TAM",(CONCATENATE(G128,"/",H128)))</f>
        <v>1/3</v>
      </c>
      <c r="L128" s="29">
        <f>43.35*1/3</f>
        <v>14.45</v>
      </c>
      <c r="M128" s="30">
        <v>0</v>
      </c>
      <c r="N128" s="16" t="str">
        <f>IF(M128=0,"0",(O128*M128))</f>
        <v>0</v>
      </c>
      <c r="O128" s="16">
        <f>IF(W128=1,L128,((D128*G128/H128)-P128)/(1-V128)-S128-T128)</f>
        <v>14.450000000000001</v>
      </c>
      <c r="P128" s="16">
        <v>0</v>
      </c>
      <c r="Q128" s="16">
        <f>IF(U128=0,"0",O128*U128)</f>
        <v>4.837172638274309</v>
      </c>
      <c r="R128" s="17">
        <f>IF(U128=0,(((D128*G128/H128)-P128-S128-T128)/(1-V128)),(((D128*G128/H128)-P128-S128-T128)/(1-V128))-((D128*G128/H128)-P128-S128-T128)*U128/(1-V128))</f>
        <v>9.612827361725692</v>
      </c>
      <c r="S128" s="12">
        <v>0</v>
      </c>
      <c r="T128" s="12">
        <v>0</v>
      </c>
      <c r="U128" s="12">
        <v>0.334752431714485</v>
      </c>
      <c r="V128" s="12">
        <v>0</v>
      </c>
      <c r="W128" s="28">
        <f>IF(V128&gt;U128,1,V128)</f>
        <v>0</v>
      </c>
      <c r="X128" s="12">
        <v>1</v>
      </c>
      <c r="Y128" s="16">
        <v>0</v>
      </c>
      <c r="Z128" s="42" t="str">
        <f>IF(OR(W128=1,W128=0),"0",(Q128-N128))</f>
        <v>0</v>
      </c>
      <c r="AA128" s="53" t="s">
        <v>403</v>
      </c>
      <c r="AB128" s="16" t="s">
        <v>404</v>
      </c>
      <c r="AC128" s="16">
        <v>9.61</v>
      </c>
      <c r="AD128" s="16">
        <v>711.06</v>
      </c>
      <c r="AE128" s="16">
        <f>ROUND(AC128*100,0)</f>
        <v>961</v>
      </c>
      <c r="AF128" s="16">
        <f>ROUND(AD128*100,0)</f>
        <v>71106</v>
      </c>
      <c r="AG128" s="19" t="str">
        <f>IF(AC128=AD128,"TAM",(CONCATENATE(AE128,"/",AF128)))</f>
        <v>961/71106</v>
      </c>
      <c r="AH128" s="11" t="s">
        <v>50</v>
      </c>
      <c r="AI128" s="21" t="s">
        <v>50</v>
      </c>
      <c r="AJ128" s="80" t="s">
        <v>2427</v>
      </c>
      <c r="AK128" s="54" t="s">
        <v>50</v>
      </c>
      <c r="AL128" s="1" t="s">
        <v>50</v>
      </c>
    </row>
    <row r="129" spans="1:37" ht="12.75" customHeight="1">
      <c r="A129" s="43"/>
      <c r="B129" s="13"/>
      <c r="C129" s="13"/>
      <c r="D129" s="31"/>
      <c r="E129" s="14" t="s">
        <v>50</v>
      </c>
      <c r="F129" s="14"/>
      <c r="G129" s="14"/>
      <c r="H129" s="14"/>
      <c r="I129" s="31"/>
      <c r="J129" s="31"/>
      <c r="K129" s="15"/>
      <c r="L129" s="15"/>
      <c r="M129" s="15"/>
      <c r="N129" s="15"/>
      <c r="O129" s="15"/>
      <c r="P129" s="14"/>
      <c r="Q129" s="14"/>
      <c r="R129" s="14"/>
      <c r="S129" s="14"/>
      <c r="T129" s="14"/>
      <c r="U129" s="14"/>
      <c r="V129" s="14"/>
      <c r="W129" s="14"/>
      <c r="X129" s="14"/>
      <c r="Y129" s="13"/>
      <c r="Z129" s="44"/>
      <c r="AA129" s="43"/>
      <c r="AB129" s="13"/>
      <c r="AC129" s="13"/>
      <c r="AD129" s="13"/>
      <c r="AE129" s="13"/>
      <c r="AF129" s="13"/>
      <c r="AG129" s="13"/>
      <c r="AH129" s="13"/>
      <c r="AI129" s="13"/>
      <c r="AJ129" s="81"/>
      <c r="AK129" s="44"/>
    </row>
    <row r="130" spans="1:38" ht="12.75" customHeight="1">
      <c r="A130" s="41">
        <v>421</v>
      </c>
      <c r="B130" s="10">
        <v>1118</v>
      </c>
      <c r="C130" s="10" t="s">
        <v>405</v>
      </c>
      <c r="D130" s="16">
        <v>43.35</v>
      </c>
      <c r="E130" s="20" t="s">
        <v>406</v>
      </c>
      <c r="F130" s="20" t="s">
        <v>407</v>
      </c>
      <c r="G130" s="12">
        <v>1</v>
      </c>
      <c r="H130" s="12">
        <v>3</v>
      </c>
      <c r="I130" s="16">
        <f>ROUND(G130,0)</f>
        <v>1</v>
      </c>
      <c r="J130" s="16">
        <f>ROUND(H130,0)</f>
        <v>3</v>
      </c>
      <c r="K130" s="18" t="str">
        <f>IF(I130=J130,"TAM",(CONCATENATE(G130,"/",H130)))</f>
        <v>1/3</v>
      </c>
      <c r="L130" s="29">
        <f>43.35*1/3</f>
        <v>14.45</v>
      </c>
      <c r="M130" s="30">
        <v>0</v>
      </c>
      <c r="N130" s="16" t="str">
        <f>IF(M130=0,"0",(O130*M130))</f>
        <v>0</v>
      </c>
      <c r="O130" s="16">
        <f>IF(W130=1,L130,((D130*G130/H130)-P130)/(1-V130)-S130-T130)</f>
        <v>14.450000000000001</v>
      </c>
      <c r="P130" s="16">
        <v>0</v>
      </c>
      <c r="Q130" s="16">
        <f>IF(U130=0,"0",O130*U130)</f>
        <v>4.837172638274309</v>
      </c>
      <c r="R130" s="17">
        <f>IF(U130=0,(((D130*G130/H130)-P130-S130-T130)/(1-V130)),(((D130*G130/H130)-P130-S130-T130)/(1-V130))-((D130*G130/H130)-P130-S130-T130)*U130/(1-V130))</f>
        <v>9.612827361725692</v>
      </c>
      <c r="S130" s="12">
        <v>0</v>
      </c>
      <c r="T130" s="12">
        <v>0</v>
      </c>
      <c r="U130" s="12">
        <v>0.334752431714485</v>
      </c>
      <c r="V130" s="12">
        <v>0</v>
      </c>
      <c r="W130" s="28">
        <f>IF(V130&gt;U130,1,V130)</f>
        <v>0</v>
      </c>
      <c r="X130" s="12">
        <v>1</v>
      </c>
      <c r="Y130" s="16">
        <v>0</v>
      </c>
      <c r="Z130" s="42" t="str">
        <f>IF(OR(W130=1,W130=0),"0",(Q130-N130))</f>
        <v>0</v>
      </c>
      <c r="AA130" s="53" t="s">
        <v>408</v>
      </c>
      <c r="AB130" s="16" t="s">
        <v>409</v>
      </c>
      <c r="AC130" s="16">
        <v>9.61</v>
      </c>
      <c r="AD130" s="16">
        <v>711.06</v>
      </c>
      <c r="AE130" s="16">
        <f>ROUND(AC130*100,0)</f>
        <v>961</v>
      </c>
      <c r="AF130" s="16">
        <f>ROUND(AD130*100,0)</f>
        <v>71106</v>
      </c>
      <c r="AG130" s="19" t="str">
        <f>IF(AC130=AD130,"TAM",(CONCATENATE(AE130,"/",AF130)))</f>
        <v>961/71106</v>
      </c>
      <c r="AH130" s="11" t="s">
        <v>50</v>
      </c>
      <c r="AI130" s="21" t="s">
        <v>50</v>
      </c>
      <c r="AJ130" s="80" t="s">
        <v>2427</v>
      </c>
      <c r="AK130" s="54" t="s">
        <v>50</v>
      </c>
      <c r="AL130" s="1" t="s">
        <v>50</v>
      </c>
    </row>
    <row r="131" spans="1:37" ht="12.75" customHeight="1">
      <c r="A131" s="43"/>
      <c r="B131" s="13"/>
      <c r="C131" s="13"/>
      <c r="D131" s="31"/>
      <c r="E131" s="14" t="s">
        <v>50</v>
      </c>
      <c r="F131" s="14"/>
      <c r="G131" s="14"/>
      <c r="H131" s="14"/>
      <c r="I131" s="31"/>
      <c r="J131" s="31"/>
      <c r="K131" s="15"/>
      <c r="L131" s="15"/>
      <c r="M131" s="15"/>
      <c r="N131" s="15"/>
      <c r="O131" s="15"/>
      <c r="P131" s="14"/>
      <c r="Q131" s="14"/>
      <c r="R131" s="14"/>
      <c r="S131" s="14"/>
      <c r="T131" s="14"/>
      <c r="U131" s="14"/>
      <c r="V131" s="14"/>
      <c r="W131" s="14"/>
      <c r="X131" s="14"/>
      <c r="Y131" s="13"/>
      <c r="Z131" s="44"/>
      <c r="AA131" s="43"/>
      <c r="AB131" s="13"/>
      <c r="AC131" s="13"/>
      <c r="AD131" s="13"/>
      <c r="AE131" s="13"/>
      <c r="AF131" s="13"/>
      <c r="AG131" s="13"/>
      <c r="AH131" s="13"/>
      <c r="AI131" s="13"/>
      <c r="AJ131" s="81"/>
      <c r="AK131" s="44"/>
    </row>
    <row r="132" spans="1:38" ht="12.75" customHeight="1">
      <c r="A132" s="41">
        <v>393</v>
      </c>
      <c r="B132" s="10">
        <v>1123</v>
      </c>
      <c r="C132" s="10" t="s">
        <v>410</v>
      </c>
      <c r="D132" s="16">
        <v>285.39</v>
      </c>
      <c r="E132" s="20" t="s">
        <v>411</v>
      </c>
      <c r="F132" s="20" t="s">
        <v>412</v>
      </c>
      <c r="G132" s="12">
        <v>1</v>
      </c>
      <c r="H132" s="12">
        <v>1</v>
      </c>
      <c r="I132" s="16">
        <f>ROUND(G132,0)</f>
        <v>1</v>
      </c>
      <c r="J132" s="16">
        <f>ROUND(H132,0)</f>
        <v>1</v>
      </c>
      <c r="K132" s="18" t="str">
        <f>IF(I132=J132,"TAM",(CONCATENATE(G132,"/",H132)))</f>
        <v>TAM</v>
      </c>
      <c r="L132" s="29">
        <f>285.39*1/1</f>
        <v>285.39</v>
      </c>
      <c r="M132" s="30">
        <v>0</v>
      </c>
      <c r="N132" s="16" t="str">
        <f>IF(M132=0,"0",(O132*M132))</f>
        <v>0</v>
      </c>
      <c r="O132" s="16">
        <f>IF(W132=1,L132,((D132*G132/H132)-P132)/(1-V132)-S132-T132)</f>
        <v>285.39</v>
      </c>
      <c r="P132" s="16">
        <v>0</v>
      </c>
      <c r="Q132" s="16">
        <f>IF(U132=0,"0",O132*U132)</f>
        <v>95.53499648699686</v>
      </c>
      <c r="R132" s="17">
        <f>IF(U132=0,(((D132*G132/H132)-P132-S132-T132)/(1-V132)),(((D132*G132/H132)-P132-S132-T132)/(1-V132))-((D132*G132/H132)-P132-S132-T132)*U132/(1-V132))</f>
        <v>189.8550035130031</v>
      </c>
      <c r="S132" s="12">
        <v>0</v>
      </c>
      <c r="T132" s="12">
        <v>0</v>
      </c>
      <c r="U132" s="12">
        <v>0.334752431714485</v>
      </c>
      <c r="V132" s="12">
        <v>0</v>
      </c>
      <c r="W132" s="28">
        <f>IF(V132&gt;U132,1,V132)</f>
        <v>0</v>
      </c>
      <c r="X132" s="12">
        <v>1</v>
      </c>
      <c r="Y132" s="16">
        <v>0</v>
      </c>
      <c r="Z132" s="42" t="str">
        <f>IF(OR(W132=1,W132=0),"0",(Q132-N132))</f>
        <v>0</v>
      </c>
      <c r="AA132" s="53" t="s">
        <v>414</v>
      </c>
      <c r="AB132" s="16" t="s">
        <v>415</v>
      </c>
      <c r="AC132" s="16">
        <v>189.86</v>
      </c>
      <c r="AD132" s="16">
        <v>711.06</v>
      </c>
      <c r="AE132" s="16">
        <f>ROUND(AC132*100,0)</f>
        <v>18986</v>
      </c>
      <c r="AF132" s="16">
        <f>ROUND(AD132*100,0)</f>
        <v>71106</v>
      </c>
      <c r="AG132" s="19" t="str">
        <f>IF(AC132=AD132,"TAM",(CONCATENATE(AE132,"/",AF132)))</f>
        <v>18986/71106</v>
      </c>
      <c r="AH132" s="11" t="s">
        <v>50</v>
      </c>
      <c r="AI132" s="21" t="s">
        <v>50</v>
      </c>
      <c r="AJ132" s="80" t="s">
        <v>2427</v>
      </c>
      <c r="AK132" s="54" t="s">
        <v>50</v>
      </c>
      <c r="AL132" s="1" t="s">
        <v>50</v>
      </c>
    </row>
    <row r="133" spans="1:37" ht="114" customHeight="1">
      <c r="A133" s="43"/>
      <c r="B133" s="13"/>
      <c r="C133" s="13"/>
      <c r="D133" s="31"/>
      <c r="E133" s="34" t="s">
        <v>413</v>
      </c>
      <c r="F133" s="14"/>
      <c r="G133" s="14"/>
      <c r="H133" s="14"/>
      <c r="I133" s="31"/>
      <c r="J133" s="31"/>
      <c r="K133" s="15"/>
      <c r="L133" s="15"/>
      <c r="M133" s="15"/>
      <c r="N133" s="15"/>
      <c r="O133" s="15"/>
      <c r="P133" s="14"/>
      <c r="Q133" s="14"/>
      <c r="R133" s="14"/>
      <c r="S133" s="14"/>
      <c r="T133" s="14"/>
      <c r="U133" s="14"/>
      <c r="V133" s="14"/>
      <c r="W133" s="14"/>
      <c r="X133" s="14"/>
      <c r="Y133" s="13"/>
      <c r="Z133" s="44"/>
      <c r="AA133" s="43"/>
      <c r="AB133" s="13"/>
      <c r="AC133" s="13"/>
      <c r="AD133" s="13"/>
      <c r="AE133" s="13"/>
      <c r="AF133" s="13"/>
      <c r="AG133" s="13"/>
      <c r="AH133" s="13"/>
      <c r="AI133" s="13"/>
      <c r="AJ133" s="81"/>
      <c r="AK133" s="44"/>
    </row>
    <row r="134" spans="1:38" ht="12.75" customHeight="1">
      <c r="A134" s="41">
        <v>527</v>
      </c>
      <c r="B134" s="10">
        <v>1300</v>
      </c>
      <c r="C134" s="10" t="s">
        <v>416</v>
      </c>
      <c r="D134" s="16">
        <v>2403.18</v>
      </c>
      <c r="E134" s="20" t="s">
        <v>417</v>
      </c>
      <c r="F134" s="20" t="s">
        <v>418</v>
      </c>
      <c r="G134" s="12">
        <v>7</v>
      </c>
      <c r="H134" s="12">
        <v>24</v>
      </c>
      <c r="I134" s="16">
        <f>ROUND(G134,0)</f>
        <v>7</v>
      </c>
      <c r="J134" s="16">
        <f>ROUND(H134,0)</f>
        <v>24</v>
      </c>
      <c r="K134" s="18" t="str">
        <f>IF(I134=J134,"TAM",(CONCATENATE(G134,"/",H134)))</f>
        <v>7/24</v>
      </c>
      <c r="L134" s="29">
        <f>2403.18*7/24</f>
        <v>700.9275</v>
      </c>
      <c r="M134" s="30">
        <v>0</v>
      </c>
      <c r="N134" s="16" t="str">
        <f>IF(M134=0,"0",(O134*M134))</f>
        <v>0</v>
      </c>
      <c r="O134" s="16">
        <f>IF(W134=1,L134,((D134*G134/H134)-P134)/(1-V134)-S134-T134)</f>
        <v>126.96749999999986</v>
      </c>
      <c r="P134" s="16">
        <v>573.96</v>
      </c>
      <c r="Q134" s="16">
        <f>IF(U134=0,"0",O134*U134)</f>
        <v>42.50267937370882</v>
      </c>
      <c r="R134" s="17">
        <f>IF(U134=0,(((D134*G134/H134)-P134-S134-T134)/(1-V134)),(((D134*G134/H134)-P134-S134-T134)/(1-V134))-((D134*G134/H134)-P134-S134-T134)*U134/(1-V134))</f>
        <v>84.46482062629104</v>
      </c>
      <c r="S134" s="12">
        <v>0</v>
      </c>
      <c r="T134" s="12">
        <v>0</v>
      </c>
      <c r="U134" s="12">
        <v>0.334752431714485</v>
      </c>
      <c r="V134" s="12">
        <v>0</v>
      </c>
      <c r="W134" s="28">
        <f>IF(V134&gt;U134,1,V134)</f>
        <v>0</v>
      </c>
      <c r="X134" s="12">
        <v>1</v>
      </c>
      <c r="Y134" s="16">
        <v>0</v>
      </c>
      <c r="Z134" s="42" t="str">
        <f>IF(OR(W134=1,W134=0),"0",(Q134-N134))</f>
        <v>0</v>
      </c>
      <c r="AA134" s="53" t="s">
        <v>419</v>
      </c>
      <c r="AB134" s="16" t="s">
        <v>420</v>
      </c>
      <c r="AC134" s="16">
        <v>84.46</v>
      </c>
      <c r="AD134" s="16">
        <v>711.06</v>
      </c>
      <c r="AE134" s="16">
        <f>ROUND(AC134*100,0)</f>
        <v>8446</v>
      </c>
      <c r="AF134" s="16">
        <f>ROUND(AD134*100,0)</f>
        <v>71106</v>
      </c>
      <c r="AG134" s="19" t="str">
        <f>IF(AC134=AD134,"TAM",(CONCATENATE(AE134,"/",AF134)))</f>
        <v>8446/71106</v>
      </c>
      <c r="AH134" s="11" t="s">
        <v>50</v>
      </c>
      <c r="AI134" s="21" t="s">
        <v>50</v>
      </c>
      <c r="AJ134" s="80" t="s">
        <v>2427</v>
      </c>
      <c r="AK134" s="54" t="s">
        <v>50</v>
      </c>
      <c r="AL134" s="1" t="s">
        <v>50</v>
      </c>
    </row>
    <row r="135" spans="1:37" ht="12.75" customHeight="1">
      <c r="A135" s="43"/>
      <c r="B135" s="13"/>
      <c r="C135" s="13"/>
      <c r="D135" s="31"/>
      <c r="E135" s="14" t="s">
        <v>50</v>
      </c>
      <c r="F135" s="14"/>
      <c r="G135" s="14"/>
      <c r="H135" s="14"/>
      <c r="I135" s="31"/>
      <c r="J135" s="31"/>
      <c r="K135" s="15"/>
      <c r="L135" s="15"/>
      <c r="M135" s="15"/>
      <c r="N135" s="15"/>
      <c r="O135" s="15"/>
      <c r="P135" s="14"/>
      <c r="Q135" s="14"/>
      <c r="R135" s="14"/>
      <c r="S135" s="14"/>
      <c r="T135" s="14"/>
      <c r="U135" s="14"/>
      <c r="V135" s="14"/>
      <c r="W135" s="14"/>
      <c r="X135" s="14"/>
      <c r="Y135" s="13"/>
      <c r="Z135" s="44"/>
      <c r="AA135" s="43"/>
      <c r="AB135" s="13"/>
      <c r="AC135" s="13"/>
      <c r="AD135" s="13"/>
      <c r="AE135" s="13"/>
      <c r="AF135" s="13"/>
      <c r="AG135" s="13"/>
      <c r="AH135" s="13"/>
      <c r="AI135" s="13"/>
      <c r="AJ135" s="81"/>
      <c r="AK135" s="44"/>
    </row>
    <row r="136" spans="1:38" ht="12.75" customHeight="1">
      <c r="A136" s="41">
        <v>525</v>
      </c>
      <c r="B136" s="10">
        <v>1300</v>
      </c>
      <c r="C136" s="10" t="s">
        <v>421</v>
      </c>
      <c r="D136" s="16">
        <v>2403.18</v>
      </c>
      <c r="E136" s="20" t="s">
        <v>422</v>
      </c>
      <c r="F136" s="20" t="s">
        <v>423</v>
      </c>
      <c r="G136" s="12">
        <v>3</v>
      </c>
      <c r="H136" s="12">
        <v>24</v>
      </c>
      <c r="I136" s="16">
        <f>ROUND(G136,0)</f>
        <v>3</v>
      </c>
      <c r="J136" s="16">
        <f>ROUND(H136,0)</f>
        <v>24</v>
      </c>
      <c r="K136" s="18" t="str">
        <f>IF(I136=J136,"TAM",(CONCATENATE(G136,"/",H136)))</f>
        <v>3/24</v>
      </c>
      <c r="L136" s="29">
        <f>2403.18*3/24</f>
        <v>300.3975</v>
      </c>
      <c r="M136" s="30">
        <v>0</v>
      </c>
      <c r="N136" s="16" t="str">
        <f>IF(M136=0,"0",(O136*M136))</f>
        <v>0</v>
      </c>
      <c r="O136" s="16">
        <f>IF(W136=1,L136,((D136*G136/H136)-P136)/(1-V136)-S136-T136)</f>
        <v>54.41749999999999</v>
      </c>
      <c r="P136" s="16">
        <v>245.98</v>
      </c>
      <c r="Q136" s="16">
        <f>IF(U136=0,"0",O136*U136)</f>
        <v>18.216390452822985</v>
      </c>
      <c r="R136" s="17">
        <f>IF(U136=0,(((D136*G136/H136)-P136-S136-T136)/(1-V136)),(((D136*G136/H136)-P136-S136-T136)/(1-V136))-((D136*G136/H136)-P136-S136-T136)*U136/(1-V136))</f>
        <v>36.201109547177005</v>
      </c>
      <c r="S136" s="12">
        <v>0</v>
      </c>
      <c r="T136" s="12">
        <v>0</v>
      </c>
      <c r="U136" s="12">
        <v>0.334752431714485</v>
      </c>
      <c r="V136" s="12">
        <v>0</v>
      </c>
      <c r="W136" s="28">
        <f>IF(V136&gt;U136,1,V136)</f>
        <v>0</v>
      </c>
      <c r="X136" s="12">
        <v>1</v>
      </c>
      <c r="Y136" s="16">
        <v>0</v>
      </c>
      <c r="Z136" s="42" t="str">
        <f>IF(OR(W136=1,W136=0),"0",(Q136-N136))</f>
        <v>0</v>
      </c>
      <c r="AA136" s="53" t="s">
        <v>424</v>
      </c>
      <c r="AB136" s="16" t="s">
        <v>425</v>
      </c>
      <c r="AC136" s="16">
        <v>36.21</v>
      </c>
      <c r="AD136" s="16">
        <v>711.06</v>
      </c>
      <c r="AE136" s="16">
        <f>ROUND(AC136*100,0)</f>
        <v>3621</v>
      </c>
      <c r="AF136" s="16">
        <f>ROUND(AD136*100,0)</f>
        <v>71106</v>
      </c>
      <c r="AG136" s="19" t="str">
        <f>IF(AC136=AD136,"TAM",(CONCATENATE(AE136,"/",AF136)))</f>
        <v>3621/71106</v>
      </c>
      <c r="AH136" s="11" t="s">
        <v>50</v>
      </c>
      <c r="AI136" s="21" t="s">
        <v>50</v>
      </c>
      <c r="AJ136" s="80" t="s">
        <v>2427</v>
      </c>
      <c r="AK136" s="54" t="s">
        <v>50</v>
      </c>
      <c r="AL136" s="1" t="s">
        <v>50</v>
      </c>
    </row>
    <row r="137" spans="1:37" ht="12.75" customHeight="1">
      <c r="A137" s="43"/>
      <c r="B137" s="13"/>
      <c r="C137" s="13"/>
      <c r="D137" s="31"/>
      <c r="E137" s="14" t="s">
        <v>50</v>
      </c>
      <c r="F137" s="14"/>
      <c r="G137" s="14"/>
      <c r="H137" s="14"/>
      <c r="I137" s="31"/>
      <c r="J137" s="31"/>
      <c r="K137" s="15"/>
      <c r="L137" s="15"/>
      <c r="M137" s="15"/>
      <c r="N137" s="15"/>
      <c r="O137" s="15"/>
      <c r="P137" s="14"/>
      <c r="Q137" s="14"/>
      <c r="R137" s="14"/>
      <c r="S137" s="14"/>
      <c r="T137" s="14"/>
      <c r="U137" s="14"/>
      <c r="V137" s="14"/>
      <c r="W137" s="14"/>
      <c r="X137" s="14"/>
      <c r="Y137" s="13"/>
      <c r="Z137" s="44"/>
      <c r="AA137" s="43"/>
      <c r="AB137" s="13"/>
      <c r="AC137" s="13"/>
      <c r="AD137" s="13"/>
      <c r="AE137" s="13"/>
      <c r="AF137" s="13"/>
      <c r="AG137" s="13"/>
      <c r="AH137" s="13"/>
      <c r="AI137" s="13"/>
      <c r="AJ137" s="81"/>
      <c r="AK137" s="44"/>
    </row>
    <row r="138" spans="1:38" ht="12.75" customHeight="1">
      <c r="A138" s="41">
        <v>524</v>
      </c>
      <c r="B138" s="10">
        <v>1300</v>
      </c>
      <c r="C138" s="10" t="s">
        <v>426</v>
      </c>
      <c r="D138" s="16">
        <v>2403.18</v>
      </c>
      <c r="E138" s="20" t="s">
        <v>427</v>
      </c>
      <c r="F138" s="20" t="s">
        <v>428</v>
      </c>
      <c r="G138" s="12">
        <v>7</v>
      </c>
      <c r="H138" s="12">
        <v>24</v>
      </c>
      <c r="I138" s="16">
        <f>ROUND(G138,0)</f>
        <v>7</v>
      </c>
      <c r="J138" s="16">
        <f>ROUND(H138,0)</f>
        <v>24</v>
      </c>
      <c r="K138" s="18" t="str">
        <f>IF(I138=J138,"TAM",(CONCATENATE(G138,"/",H138)))</f>
        <v>7/24</v>
      </c>
      <c r="L138" s="29">
        <f>2403.18*7/24</f>
        <v>700.9275</v>
      </c>
      <c r="M138" s="30">
        <v>0</v>
      </c>
      <c r="N138" s="16" t="str">
        <f>IF(M138=0,"0",(O138*M138))</f>
        <v>0</v>
      </c>
      <c r="O138" s="16">
        <f>IF(W138=1,L138,((D138*G138/H138)-P138)/(1-V138)-S138-T138)</f>
        <v>126.96749999999986</v>
      </c>
      <c r="P138" s="16">
        <v>573.96</v>
      </c>
      <c r="Q138" s="16">
        <f>IF(U138=0,"0",O138*U138)</f>
        <v>42.50267937370882</v>
      </c>
      <c r="R138" s="17">
        <f>IF(U138=0,(((D138*G138/H138)-P138-S138-T138)/(1-V138)),(((D138*G138/H138)-P138-S138-T138)/(1-V138))-((D138*G138/H138)-P138-S138-T138)*U138/(1-V138))</f>
        <v>84.46482062629104</v>
      </c>
      <c r="S138" s="12">
        <v>0</v>
      </c>
      <c r="T138" s="12">
        <v>0</v>
      </c>
      <c r="U138" s="12">
        <v>0.334752431714485</v>
      </c>
      <c r="V138" s="12">
        <v>0</v>
      </c>
      <c r="W138" s="28">
        <f>IF(V138&gt;U138,1,V138)</f>
        <v>0</v>
      </c>
      <c r="X138" s="12">
        <v>1</v>
      </c>
      <c r="Y138" s="16">
        <v>0</v>
      </c>
      <c r="Z138" s="42" t="str">
        <f>IF(OR(W138=1,W138=0),"0",(Q138-N138))</f>
        <v>0</v>
      </c>
      <c r="AA138" s="53" t="s">
        <v>429</v>
      </c>
      <c r="AB138" s="16" t="s">
        <v>430</v>
      </c>
      <c r="AC138" s="16">
        <v>84.46</v>
      </c>
      <c r="AD138" s="16">
        <v>711.06</v>
      </c>
      <c r="AE138" s="16">
        <f>ROUND(AC138*100,0)</f>
        <v>8446</v>
      </c>
      <c r="AF138" s="16">
        <f>ROUND(AD138*100,0)</f>
        <v>71106</v>
      </c>
      <c r="AG138" s="19" t="str">
        <f>IF(AC138=AD138,"TAM",(CONCATENATE(AE138,"/",AF138)))</f>
        <v>8446/71106</v>
      </c>
      <c r="AH138" s="11" t="s">
        <v>50</v>
      </c>
      <c r="AI138" s="21" t="s">
        <v>50</v>
      </c>
      <c r="AJ138" s="80" t="s">
        <v>2427</v>
      </c>
      <c r="AK138" s="54" t="s">
        <v>50</v>
      </c>
      <c r="AL138" s="1" t="s">
        <v>50</v>
      </c>
    </row>
    <row r="139" spans="1:37" ht="12.75" customHeight="1">
      <c r="A139" s="43"/>
      <c r="B139" s="13"/>
      <c r="C139" s="13"/>
      <c r="D139" s="31"/>
      <c r="E139" s="14" t="s">
        <v>50</v>
      </c>
      <c r="F139" s="14"/>
      <c r="G139" s="14"/>
      <c r="H139" s="14"/>
      <c r="I139" s="31"/>
      <c r="J139" s="31"/>
      <c r="K139" s="15"/>
      <c r="L139" s="15"/>
      <c r="M139" s="15"/>
      <c r="N139" s="15"/>
      <c r="O139" s="15"/>
      <c r="P139" s="14"/>
      <c r="Q139" s="14"/>
      <c r="R139" s="14"/>
      <c r="S139" s="14"/>
      <c r="T139" s="14"/>
      <c r="U139" s="14"/>
      <c r="V139" s="14"/>
      <c r="W139" s="14"/>
      <c r="X139" s="14"/>
      <c r="Y139" s="13"/>
      <c r="Z139" s="44"/>
      <c r="AA139" s="43"/>
      <c r="AB139" s="13"/>
      <c r="AC139" s="13"/>
      <c r="AD139" s="13"/>
      <c r="AE139" s="13"/>
      <c r="AF139" s="13"/>
      <c r="AG139" s="13"/>
      <c r="AH139" s="13"/>
      <c r="AI139" s="13"/>
      <c r="AJ139" s="81"/>
      <c r="AK139" s="44"/>
    </row>
    <row r="140" spans="1:38" ht="12.75" customHeight="1">
      <c r="A140" s="41">
        <v>526</v>
      </c>
      <c r="B140" s="10">
        <v>1300</v>
      </c>
      <c r="C140" s="10" t="s">
        <v>431</v>
      </c>
      <c r="D140" s="16">
        <v>2403.18</v>
      </c>
      <c r="E140" s="20" t="s">
        <v>432</v>
      </c>
      <c r="F140" s="20" t="s">
        <v>433</v>
      </c>
      <c r="G140" s="12">
        <v>7</v>
      </c>
      <c r="H140" s="12">
        <v>24</v>
      </c>
      <c r="I140" s="16">
        <f>ROUND(G140,0)</f>
        <v>7</v>
      </c>
      <c r="J140" s="16">
        <f>ROUND(H140,0)</f>
        <v>24</v>
      </c>
      <c r="K140" s="18" t="str">
        <f>IF(I140=J140,"TAM",(CONCATENATE(G140,"/",H140)))</f>
        <v>7/24</v>
      </c>
      <c r="L140" s="29">
        <f>2403.18*7/24</f>
        <v>700.9275</v>
      </c>
      <c r="M140" s="30">
        <v>0</v>
      </c>
      <c r="N140" s="16" t="str">
        <f>IF(M140=0,"0",(O140*M140))</f>
        <v>0</v>
      </c>
      <c r="O140" s="16">
        <f>IF(W140=1,L140,((D140*G140/H140)-P140)/(1-V140)-S140-T140)</f>
        <v>126.96749999999986</v>
      </c>
      <c r="P140" s="16">
        <v>573.96</v>
      </c>
      <c r="Q140" s="16">
        <f>IF(U140=0,"0",O140*U140)</f>
        <v>42.50267937370882</v>
      </c>
      <c r="R140" s="17">
        <f>IF(U140=0,(((D140*G140/H140)-P140-S140-T140)/(1-V140)),(((D140*G140/H140)-P140-S140-T140)/(1-V140))-((D140*G140/H140)-P140-S140-T140)*U140/(1-V140))</f>
        <v>84.46482062629104</v>
      </c>
      <c r="S140" s="12">
        <v>0</v>
      </c>
      <c r="T140" s="12">
        <v>0</v>
      </c>
      <c r="U140" s="12">
        <v>0.334752431714485</v>
      </c>
      <c r="V140" s="12">
        <v>0</v>
      </c>
      <c r="W140" s="28">
        <f>IF(V140&gt;U140,1,V140)</f>
        <v>0</v>
      </c>
      <c r="X140" s="12">
        <v>1</v>
      </c>
      <c r="Y140" s="16">
        <v>0</v>
      </c>
      <c r="Z140" s="42" t="str">
        <f>IF(OR(W140=1,W140=0),"0",(Q140-N140))</f>
        <v>0</v>
      </c>
      <c r="AA140" s="53" t="s">
        <v>434</v>
      </c>
      <c r="AB140" s="16" t="s">
        <v>435</v>
      </c>
      <c r="AC140" s="16">
        <v>84.47</v>
      </c>
      <c r="AD140" s="16">
        <v>711.06</v>
      </c>
      <c r="AE140" s="16">
        <f>ROUND(AC140*100,0)</f>
        <v>8447</v>
      </c>
      <c r="AF140" s="16">
        <f>ROUND(AD140*100,0)</f>
        <v>71106</v>
      </c>
      <c r="AG140" s="19" t="str">
        <f>IF(AC140=AD140,"TAM",(CONCATENATE(AE140,"/",AF140)))</f>
        <v>8447/71106</v>
      </c>
      <c r="AH140" s="11" t="s">
        <v>50</v>
      </c>
      <c r="AI140" s="21" t="s">
        <v>50</v>
      </c>
      <c r="AJ140" s="80" t="s">
        <v>2427</v>
      </c>
      <c r="AK140" s="54" t="s">
        <v>50</v>
      </c>
      <c r="AL140" s="1" t="s">
        <v>50</v>
      </c>
    </row>
    <row r="141" spans="1:37" ht="12.75" customHeight="1">
      <c r="A141" s="43"/>
      <c r="B141" s="13"/>
      <c r="C141" s="13"/>
      <c r="D141" s="31"/>
      <c r="E141" s="14" t="s">
        <v>50</v>
      </c>
      <c r="F141" s="14"/>
      <c r="G141" s="14"/>
      <c r="H141" s="14"/>
      <c r="I141" s="31"/>
      <c r="J141" s="31"/>
      <c r="K141" s="15"/>
      <c r="L141" s="15"/>
      <c r="M141" s="15"/>
      <c r="N141" s="15"/>
      <c r="O141" s="15"/>
      <c r="P141" s="14"/>
      <c r="Q141" s="14"/>
      <c r="R141" s="14"/>
      <c r="S141" s="14"/>
      <c r="T141" s="14"/>
      <c r="U141" s="14"/>
      <c r="V141" s="14"/>
      <c r="W141" s="14"/>
      <c r="X141" s="14"/>
      <c r="Y141" s="13"/>
      <c r="Z141" s="44"/>
      <c r="AA141" s="43"/>
      <c r="AB141" s="13"/>
      <c r="AC141" s="13"/>
      <c r="AD141" s="13"/>
      <c r="AE141" s="13"/>
      <c r="AF141" s="13"/>
      <c r="AG141" s="13"/>
      <c r="AH141" s="13"/>
      <c r="AI141" s="13"/>
      <c r="AJ141" s="81"/>
      <c r="AK141" s="44"/>
    </row>
    <row r="142" spans="1:38" ht="12.75" customHeight="1">
      <c r="A142" s="41">
        <v>537</v>
      </c>
      <c r="B142" s="10">
        <v>1302</v>
      </c>
      <c r="C142" s="10" t="s">
        <v>436</v>
      </c>
      <c r="D142" s="16">
        <v>304.79</v>
      </c>
      <c r="E142" s="20" t="s">
        <v>437</v>
      </c>
      <c r="F142" s="20" t="s">
        <v>438</v>
      </c>
      <c r="G142" s="12">
        <v>1</v>
      </c>
      <c r="H142" s="12">
        <v>1</v>
      </c>
      <c r="I142" s="16">
        <f>ROUND(G142,0)</f>
        <v>1</v>
      </c>
      <c r="J142" s="16">
        <f>ROUND(H142,0)</f>
        <v>1</v>
      </c>
      <c r="K142" s="18" t="str">
        <f>IF(I142=J142,"TAM",(CONCATENATE(G142,"/",H142)))</f>
        <v>TAM</v>
      </c>
      <c r="L142" s="29">
        <f>304.79*1/1</f>
        <v>304.79</v>
      </c>
      <c r="M142" s="30">
        <v>0</v>
      </c>
      <c r="N142" s="16" t="str">
        <f>IF(M142=0,"0",(O142*M142))</f>
        <v>0</v>
      </c>
      <c r="O142" s="16">
        <f>IF(W142=1,L142,((D142*G142/H142)-P142)/(1-V142)-S142-T142)</f>
        <v>304.79</v>
      </c>
      <c r="P142" s="16">
        <v>0</v>
      </c>
      <c r="Q142" s="16">
        <f>IF(U142=0,"0",O142*U142)</f>
        <v>102.02919366225788</v>
      </c>
      <c r="R142" s="17">
        <f>IF(U142=0,(((D142*G142/H142)-P142-S142-T142)/(1-V142)),(((D142*G142/H142)-P142-S142-T142)/(1-V142))-((D142*G142/H142)-P142-S142-T142)*U142/(1-V142))</f>
        <v>202.76080633774214</v>
      </c>
      <c r="S142" s="12">
        <v>0</v>
      </c>
      <c r="T142" s="12">
        <v>0</v>
      </c>
      <c r="U142" s="12">
        <v>0.334752431714485</v>
      </c>
      <c r="V142" s="12">
        <v>0</v>
      </c>
      <c r="W142" s="28">
        <f>IF(V142&gt;U142,1,V142)</f>
        <v>0</v>
      </c>
      <c r="X142" s="12">
        <v>1</v>
      </c>
      <c r="Y142" s="16">
        <v>0</v>
      </c>
      <c r="Z142" s="42" t="str">
        <f>IF(OR(W142=1,W142=0),"0",(Q142-N142))</f>
        <v>0</v>
      </c>
      <c r="AA142" s="53" t="s">
        <v>440</v>
      </c>
      <c r="AB142" s="16" t="s">
        <v>441</v>
      </c>
      <c r="AC142" s="16">
        <v>202.76</v>
      </c>
      <c r="AD142" s="16">
        <v>711.06</v>
      </c>
      <c r="AE142" s="16">
        <f>ROUND(AC142*100,0)</f>
        <v>20276</v>
      </c>
      <c r="AF142" s="16">
        <f>ROUND(AD142*100,0)</f>
        <v>71106</v>
      </c>
      <c r="AG142" s="19" t="str">
        <f>IF(AC142=AD142,"TAM",(CONCATENATE(AE142,"/",AF142)))</f>
        <v>20276/71106</v>
      </c>
      <c r="AH142" s="11" t="s">
        <v>50</v>
      </c>
      <c r="AI142" s="21" t="s">
        <v>50</v>
      </c>
      <c r="AJ142" s="80" t="s">
        <v>2427</v>
      </c>
      <c r="AK142" s="54" t="s">
        <v>50</v>
      </c>
      <c r="AL142" s="1" t="s">
        <v>50</v>
      </c>
    </row>
    <row r="143" spans="1:37" ht="111" customHeight="1">
      <c r="A143" s="43"/>
      <c r="B143" s="13"/>
      <c r="C143" s="13"/>
      <c r="D143" s="31"/>
      <c r="E143" s="34" t="s">
        <v>439</v>
      </c>
      <c r="F143" s="14"/>
      <c r="G143" s="14"/>
      <c r="H143" s="14"/>
      <c r="I143" s="31"/>
      <c r="J143" s="31"/>
      <c r="K143" s="15"/>
      <c r="L143" s="15"/>
      <c r="M143" s="15"/>
      <c r="N143" s="15"/>
      <c r="O143" s="15"/>
      <c r="P143" s="14"/>
      <c r="Q143" s="14"/>
      <c r="R143" s="14"/>
      <c r="S143" s="14"/>
      <c r="T143" s="14"/>
      <c r="U143" s="14"/>
      <c r="V143" s="14"/>
      <c r="W143" s="14"/>
      <c r="X143" s="14"/>
      <c r="Y143" s="13"/>
      <c r="Z143" s="44"/>
      <c r="AA143" s="43"/>
      <c r="AB143" s="13"/>
      <c r="AC143" s="13"/>
      <c r="AD143" s="13"/>
      <c r="AE143" s="13"/>
      <c r="AF143" s="13"/>
      <c r="AG143" s="13"/>
      <c r="AH143" s="13"/>
      <c r="AI143" s="13"/>
      <c r="AJ143" s="81"/>
      <c r="AK143" s="44"/>
    </row>
    <row r="144" spans="1:38" ht="23.25" customHeight="1">
      <c r="A144" s="41">
        <v>458</v>
      </c>
      <c r="B144" s="10">
        <v>1139</v>
      </c>
      <c r="C144" s="10" t="s">
        <v>442</v>
      </c>
      <c r="D144" s="16">
        <v>3113.93</v>
      </c>
      <c r="E144" s="20" t="s">
        <v>443</v>
      </c>
      <c r="F144" s="20" t="s">
        <v>444</v>
      </c>
      <c r="G144" s="12">
        <v>1</v>
      </c>
      <c r="H144" s="12">
        <v>1</v>
      </c>
      <c r="I144" s="16">
        <f>ROUND(G144,0)</f>
        <v>1</v>
      </c>
      <c r="J144" s="16">
        <f>ROUND(H144,0)</f>
        <v>1</v>
      </c>
      <c r="K144" s="18" t="str">
        <f>IF(I144=J144,"TAM",(CONCATENATE(G144,"/",H144)))</f>
        <v>TAM</v>
      </c>
      <c r="L144" s="29">
        <f>3113.93*1/1</f>
        <v>3113.93</v>
      </c>
      <c r="M144" s="30">
        <v>0</v>
      </c>
      <c r="N144" s="16" t="str">
        <f>IF(M144=0,"0",(O144*M144))</f>
        <v>0</v>
      </c>
      <c r="O144" s="16">
        <f>IF(W144=1,L144,((D144*G144/H144)-P144)/(1-V144)-S144-T144)</f>
        <v>3113.93</v>
      </c>
      <c r="P144" s="16">
        <v>0</v>
      </c>
      <c r="Q144" s="16">
        <f>IF(U144=0,"0",O144*U144)</f>
        <v>1042.3956396886863</v>
      </c>
      <c r="R144" s="17">
        <f>IF(U144=0,(((D144*G144/H144)-P144-S144-T144)/(1-V144)),(((D144*G144/H144)-P144-S144-T144)/(1-V144))-((D144*G144/H144)-P144-S144-T144)*U144/(1-V144))</f>
        <v>2071.5343603113133</v>
      </c>
      <c r="S144" s="12">
        <v>0</v>
      </c>
      <c r="T144" s="12">
        <v>0</v>
      </c>
      <c r="U144" s="12">
        <v>0.334752431714485</v>
      </c>
      <c r="V144" s="12">
        <v>0</v>
      </c>
      <c r="W144" s="28">
        <f>IF(V144&gt;U144,1,V144)</f>
        <v>0</v>
      </c>
      <c r="X144" s="12">
        <v>1</v>
      </c>
      <c r="Y144" s="16">
        <v>0</v>
      </c>
      <c r="Z144" s="42" t="str">
        <f>IF(OR(W144=1,W144=0),"0",(Q144-N144))</f>
        <v>0</v>
      </c>
      <c r="AA144" s="53" t="s">
        <v>445</v>
      </c>
      <c r="AB144" s="16" t="s">
        <v>446</v>
      </c>
      <c r="AC144" s="16">
        <v>153.7</v>
      </c>
      <c r="AD144" s="16">
        <v>501.4</v>
      </c>
      <c r="AE144" s="16">
        <f>ROUND(AC144*100,0)</f>
        <v>15370</v>
      </c>
      <c r="AF144" s="16">
        <f>ROUND(AD144*100,0)</f>
        <v>50140</v>
      </c>
      <c r="AG144" s="19" t="str">
        <f>IF(AC144=AD144,"TAM",(CONCATENATE(AE144,"/",AF144)))</f>
        <v>15370/50140</v>
      </c>
      <c r="AH144" s="11" t="s">
        <v>50</v>
      </c>
      <c r="AI144" s="21" t="s">
        <v>50</v>
      </c>
      <c r="AJ144" s="77" t="s">
        <v>2428</v>
      </c>
      <c r="AK144" s="54" t="s">
        <v>50</v>
      </c>
      <c r="AL144" s="1" t="s">
        <v>50</v>
      </c>
    </row>
    <row r="145" spans="1:37" ht="23.25" customHeight="1">
      <c r="A145" s="43"/>
      <c r="B145" s="13"/>
      <c r="C145" s="13"/>
      <c r="D145" s="31"/>
      <c r="E145" s="14" t="s">
        <v>50</v>
      </c>
      <c r="F145" s="14"/>
      <c r="G145" s="14"/>
      <c r="H145" s="14"/>
      <c r="I145" s="31"/>
      <c r="J145" s="31"/>
      <c r="K145" s="15"/>
      <c r="L145" s="15"/>
      <c r="M145" s="15"/>
      <c r="N145" s="15"/>
      <c r="O145" s="15"/>
      <c r="P145" s="14"/>
      <c r="Q145" s="14"/>
      <c r="R145" s="14"/>
      <c r="S145" s="14"/>
      <c r="T145" s="14"/>
      <c r="U145" s="14"/>
      <c r="V145" s="14"/>
      <c r="W145" s="14"/>
      <c r="X145" s="14"/>
      <c r="Y145" s="13"/>
      <c r="Z145" s="44"/>
      <c r="AA145" s="43"/>
      <c r="AB145" s="13"/>
      <c r="AC145" s="13"/>
      <c r="AD145" s="13"/>
      <c r="AE145" s="13"/>
      <c r="AF145" s="13"/>
      <c r="AG145" s="13"/>
      <c r="AH145" s="13"/>
      <c r="AI145" s="13"/>
      <c r="AJ145" s="78"/>
      <c r="AK145" s="44"/>
    </row>
    <row r="146" spans="1:38" ht="23.25" customHeight="1">
      <c r="A146" s="41">
        <v>544</v>
      </c>
      <c r="B146" s="10">
        <v>1303</v>
      </c>
      <c r="C146" s="10" t="s">
        <v>447</v>
      </c>
      <c r="D146" s="16">
        <v>246.31</v>
      </c>
      <c r="E146" s="20" t="s">
        <v>448</v>
      </c>
      <c r="F146" s="20" t="s">
        <v>449</v>
      </c>
      <c r="G146" s="12">
        <v>1</v>
      </c>
      <c r="H146" s="12">
        <v>1</v>
      </c>
      <c r="I146" s="16">
        <f>ROUND(G146,0)</f>
        <v>1</v>
      </c>
      <c r="J146" s="16">
        <f>ROUND(H146,0)</f>
        <v>1</v>
      </c>
      <c r="K146" s="18" t="str">
        <f>IF(I146=J146,"TAM",(CONCATENATE(G146,"/",H146)))</f>
        <v>TAM</v>
      </c>
      <c r="L146" s="29">
        <f>246.31*1/1</f>
        <v>246.31</v>
      </c>
      <c r="M146" s="30">
        <v>0</v>
      </c>
      <c r="N146" s="16" t="str">
        <f>IF(M146=0,"0",(O146*M146))</f>
        <v>0</v>
      </c>
      <c r="O146" s="16">
        <f>IF(W146=1,L146,((D146*G146/H146)-P146)/(1-V146)-S146-T146)</f>
        <v>246.31</v>
      </c>
      <c r="P146" s="16">
        <v>0</v>
      </c>
      <c r="Q146" s="16">
        <f>IF(U146=0,"0",O146*U146)</f>
        <v>82.4528714555948</v>
      </c>
      <c r="R146" s="17">
        <f>IF(U146=0,(((D146*G146/H146)-P146-S146-T146)/(1-V146)),(((D146*G146/H146)-P146-S146-T146)/(1-V146))-((D146*G146/H146)-P146-S146-T146)*U146/(1-V146))</f>
        <v>163.8571285444052</v>
      </c>
      <c r="S146" s="12">
        <v>0</v>
      </c>
      <c r="T146" s="12">
        <v>0</v>
      </c>
      <c r="U146" s="12">
        <v>0.334752431714485</v>
      </c>
      <c r="V146" s="12">
        <v>0</v>
      </c>
      <c r="W146" s="28">
        <f>IF(V146&gt;U146,1,V146)</f>
        <v>0</v>
      </c>
      <c r="X146" s="12">
        <v>1</v>
      </c>
      <c r="Y146" s="16">
        <v>0</v>
      </c>
      <c r="Z146" s="42" t="str">
        <f>IF(OR(W146=1,W146=0),"0",(Q146-N146))</f>
        <v>0</v>
      </c>
      <c r="AA146" s="53" t="s">
        <v>450</v>
      </c>
      <c r="AB146" s="16" t="s">
        <v>451</v>
      </c>
      <c r="AC146" s="16">
        <v>163.86</v>
      </c>
      <c r="AD146" s="16">
        <v>501.4</v>
      </c>
      <c r="AE146" s="16">
        <f>ROUND(AC146*100,0)</f>
        <v>16386</v>
      </c>
      <c r="AF146" s="16">
        <f>ROUND(AD146*100,0)</f>
        <v>50140</v>
      </c>
      <c r="AG146" s="19" t="str">
        <f>IF(AC146=AD146,"TAM",(CONCATENATE(AE146,"/",AF146)))</f>
        <v>16386/50140</v>
      </c>
      <c r="AH146" s="11" t="s">
        <v>50</v>
      </c>
      <c r="AI146" s="21" t="s">
        <v>50</v>
      </c>
      <c r="AJ146" s="77" t="s">
        <v>2428</v>
      </c>
      <c r="AK146" s="54" t="s">
        <v>50</v>
      </c>
      <c r="AL146" s="1" t="s">
        <v>50</v>
      </c>
    </row>
    <row r="147" spans="1:37" ht="23.25" customHeight="1">
      <c r="A147" s="43"/>
      <c r="B147" s="13"/>
      <c r="C147" s="13"/>
      <c r="D147" s="31"/>
      <c r="E147" s="14" t="s">
        <v>50</v>
      </c>
      <c r="F147" s="14"/>
      <c r="G147" s="14"/>
      <c r="H147" s="14"/>
      <c r="I147" s="31"/>
      <c r="J147" s="31"/>
      <c r="K147" s="15"/>
      <c r="L147" s="15"/>
      <c r="M147" s="15"/>
      <c r="N147" s="15"/>
      <c r="O147" s="15"/>
      <c r="P147" s="14"/>
      <c r="Q147" s="14"/>
      <c r="R147" s="14"/>
      <c r="S147" s="14"/>
      <c r="T147" s="14"/>
      <c r="U147" s="14"/>
      <c r="V147" s="14"/>
      <c r="W147" s="14"/>
      <c r="X147" s="14"/>
      <c r="Y147" s="13"/>
      <c r="Z147" s="44"/>
      <c r="AA147" s="43"/>
      <c r="AB147" s="13"/>
      <c r="AC147" s="13"/>
      <c r="AD147" s="13"/>
      <c r="AE147" s="13"/>
      <c r="AF147" s="13"/>
      <c r="AG147" s="13"/>
      <c r="AH147" s="13"/>
      <c r="AI147" s="13"/>
      <c r="AJ147" s="78"/>
      <c r="AK147" s="44"/>
    </row>
    <row r="148" spans="1:38" ht="23.25" customHeight="1">
      <c r="A148" s="41">
        <v>545</v>
      </c>
      <c r="B148" s="10">
        <v>1304</v>
      </c>
      <c r="C148" s="10" t="s">
        <v>452</v>
      </c>
      <c r="D148" s="16">
        <v>276.35</v>
      </c>
      <c r="E148" s="20" t="s">
        <v>453</v>
      </c>
      <c r="F148" s="20" t="s">
        <v>454</v>
      </c>
      <c r="G148" s="12">
        <v>1</v>
      </c>
      <c r="H148" s="12">
        <v>1</v>
      </c>
      <c r="I148" s="16">
        <f>ROUND(G148,0)</f>
        <v>1</v>
      </c>
      <c r="J148" s="16">
        <f>ROUND(H148,0)</f>
        <v>1</v>
      </c>
      <c r="K148" s="18" t="str">
        <f>IF(I148=J148,"TAM",(CONCATENATE(G148,"/",H148)))</f>
        <v>TAM</v>
      </c>
      <c r="L148" s="29">
        <f>276.35*1/1</f>
        <v>276.35</v>
      </c>
      <c r="M148" s="30">
        <v>0</v>
      </c>
      <c r="N148" s="16" t="str">
        <f>IF(M148=0,"0",(O148*M148))</f>
        <v>0</v>
      </c>
      <c r="O148" s="16">
        <f>IF(W148=1,L148,((D148*G148/H148)-P148)/(1-V148)-S148-T148)</f>
        <v>276.35</v>
      </c>
      <c r="P148" s="16">
        <v>0</v>
      </c>
      <c r="Q148" s="16">
        <f>IF(U148=0,"0",O148*U148)</f>
        <v>92.50883450429794</v>
      </c>
      <c r="R148" s="17">
        <f>IF(U148=0,(((D148*G148/H148)-P148-S148-T148)/(1-V148)),(((D148*G148/H148)-P148-S148-T148)/(1-V148))-((D148*G148/H148)-P148-S148-T148)*U148/(1-V148))</f>
        <v>183.84116549570209</v>
      </c>
      <c r="S148" s="12">
        <v>0</v>
      </c>
      <c r="T148" s="12">
        <v>0</v>
      </c>
      <c r="U148" s="12">
        <v>0.334752431714485</v>
      </c>
      <c r="V148" s="12">
        <v>0</v>
      </c>
      <c r="W148" s="28">
        <f>IF(V148&gt;U148,1,V148)</f>
        <v>0</v>
      </c>
      <c r="X148" s="12">
        <v>1</v>
      </c>
      <c r="Y148" s="16">
        <v>0</v>
      </c>
      <c r="Z148" s="42" t="str">
        <f>IF(OR(W148=1,W148=0),"0",(Q148-N148))</f>
        <v>0</v>
      </c>
      <c r="AA148" s="53" t="s">
        <v>456</v>
      </c>
      <c r="AB148" s="16" t="s">
        <v>457</v>
      </c>
      <c r="AC148" s="16">
        <v>183.84</v>
      </c>
      <c r="AD148" s="16">
        <v>501.4</v>
      </c>
      <c r="AE148" s="16">
        <f>ROUND(AC148*100,0)</f>
        <v>18384</v>
      </c>
      <c r="AF148" s="16">
        <f>ROUND(AD148*100,0)</f>
        <v>50140</v>
      </c>
      <c r="AG148" s="19" t="str">
        <f>IF(AC148=AD148,"TAM",(CONCATENATE(AE148,"/",AF148)))</f>
        <v>18384/50140</v>
      </c>
      <c r="AH148" s="11" t="s">
        <v>50</v>
      </c>
      <c r="AI148" s="21" t="s">
        <v>50</v>
      </c>
      <c r="AJ148" s="77" t="s">
        <v>2428</v>
      </c>
      <c r="AK148" s="54" t="s">
        <v>50</v>
      </c>
      <c r="AL148" s="1" t="s">
        <v>50</v>
      </c>
    </row>
    <row r="149" spans="1:37" ht="23.25" customHeight="1">
      <c r="A149" s="43"/>
      <c r="B149" s="13"/>
      <c r="C149" s="13"/>
      <c r="D149" s="31"/>
      <c r="E149" s="14" t="s">
        <v>455</v>
      </c>
      <c r="F149" s="14"/>
      <c r="G149" s="14"/>
      <c r="H149" s="14"/>
      <c r="I149" s="31"/>
      <c r="J149" s="31"/>
      <c r="K149" s="15"/>
      <c r="L149" s="15"/>
      <c r="M149" s="15"/>
      <c r="N149" s="15"/>
      <c r="O149" s="15"/>
      <c r="P149" s="14"/>
      <c r="Q149" s="14"/>
      <c r="R149" s="14"/>
      <c r="S149" s="14"/>
      <c r="T149" s="14"/>
      <c r="U149" s="14"/>
      <c r="V149" s="14"/>
      <c r="W149" s="14"/>
      <c r="X149" s="14"/>
      <c r="Y149" s="13"/>
      <c r="Z149" s="44"/>
      <c r="AA149" s="43"/>
      <c r="AB149" s="13"/>
      <c r="AC149" s="13"/>
      <c r="AD149" s="13"/>
      <c r="AE149" s="13"/>
      <c r="AF149" s="13"/>
      <c r="AG149" s="13"/>
      <c r="AH149" s="13"/>
      <c r="AI149" s="13"/>
      <c r="AJ149" s="78"/>
      <c r="AK149" s="44"/>
    </row>
    <row r="150" spans="1:38" ht="12.75" customHeight="1">
      <c r="A150" s="41">
        <v>413</v>
      </c>
      <c r="B150" s="10">
        <v>1125</v>
      </c>
      <c r="C150" s="10" t="s">
        <v>458</v>
      </c>
      <c r="D150" s="16">
        <v>724.34</v>
      </c>
      <c r="E150" s="20" t="s">
        <v>459</v>
      </c>
      <c r="F150" s="20" t="s">
        <v>460</v>
      </c>
      <c r="G150" s="12">
        <v>1</v>
      </c>
      <c r="H150" s="12">
        <v>1</v>
      </c>
      <c r="I150" s="16">
        <f>ROUND(G150,0)</f>
        <v>1</v>
      </c>
      <c r="J150" s="16">
        <f>ROUND(H150,0)</f>
        <v>1</v>
      </c>
      <c r="K150" s="18" t="str">
        <f>IF(I150=J150,"TAM",(CONCATENATE(G150,"/",H150)))</f>
        <v>TAM</v>
      </c>
      <c r="L150" s="29">
        <f>724.34*1/1</f>
        <v>724.34</v>
      </c>
      <c r="M150" s="30">
        <v>0</v>
      </c>
      <c r="N150" s="16" t="str">
        <f>IF(M150=0,"0",(O150*M150))</f>
        <v>0</v>
      </c>
      <c r="O150" s="16">
        <f>IF(W150=1,L150,((D150*G150/H150)-P150)/(1-V150)-S150-T150)</f>
        <v>724.34</v>
      </c>
      <c r="P150" s="16">
        <v>0</v>
      </c>
      <c r="Q150" s="16">
        <f>IF(U150=0,"0",O150*U150)</f>
        <v>242.47457638807006</v>
      </c>
      <c r="R150" s="17">
        <f>IF(U150=0,(((D150*G150/H150)-P150-S150-T150)/(1-V150)),(((D150*G150/H150)-P150-S150-T150)/(1-V150))-((D150*G150/H150)-P150-S150-T150)*U150/(1-V150))</f>
        <v>481.86542361192994</v>
      </c>
      <c r="S150" s="12">
        <v>0</v>
      </c>
      <c r="T150" s="12">
        <v>0</v>
      </c>
      <c r="U150" s="12">
        <v>0.334752431714485</v>
      </c>
      <c r="V150" s="12">
        <v>0</v>
      </c>
      <c r="W150" s="28">
        <f>IF(V150&gt;U150,1,V150)</f>
        <v>0</v>
      </c>
      <c r="X150" s="12">
        <v>1</v>
      </c>
      <c r="Y150" s="16">
        <v>0</v>
      </c>
      <c r="Z150" s="42" t="str">
        <f>IF(OR(W150=1,W150=0),"0",(Q150-N150))</f>
        <v>0</v>
      </c>
      <c r="AA150" s="53" t="s">
        <v>462</v>
      </c>
      <c r="AB150" s="16" t="s">
        <v>464</v>
      </c>
      <c r="AC150" s="16">
        <v>481.87</v>
      </c>
      <c r="AD150" s="16">
        <v>481.87</v>
      </c>
      <c r="AE150" s="16">
        <f>ROUND(AC150*100,0)</f>
        <v>48187</v>
      </c>
      <c r="AF150" s="16">
        <f>ROUND(AD150*100,0)</f>
        <v>48187</v>
      </c>
      <c r="AG150" s="19" t="str">
        <f>IF(AC150=AD150,"TAM",(CONCATENATE(AE150,"/",AF150)))</f>
        <v>TAM</v>
      </c>
      <c r="AH150" s="11" t="s">
        <v>50</v>
      </c>
      <c r="AI150" s="21" t="s">
        <v>50</v>
      </c>
      <c r="AJ150" s="21" t="s">
        <v>463</v>
      </c>
      <c r="AK150" s="54" t="s">
        <v>50</v>
      </c>
      <c r="AL150" s="1" t="s">
        <v>50</v>
      </c>
    </row>
    <row r="151" spans="1:37" ht="54.75" customHeight="1">
      <c r="A151" s="43"/>
      <c r="B151" s="13"/>
      <c r="C151" s="13"/>
      <c r="D151" s="31"/>
      <c r="E151" s="34" t="s">
        <v>461</v>
      </c>
      <c r="F151" s="14"/>
      <c r="G151" s="14"/>
      <c r="H151" s="14"/>
      <c r="I151" s="31"/>
      <c r="J151" s="31"/>
      <c r="K151" s="15"/>
      <c r="L151" s="15"/>
      <c r="M151" s="15"/>
      <c r="N151" s="15"/>
      <c r="O151" s="15"/>
      <c r="P151" s="14"/>
      <c r="Q151" s="14"/>
      <c r="R151" s="14"/>
      <c r="S151" s="14"/>
      <c r="T151" s="14"/>
      <c r="U151" s="14"/>
      <c r="V151" s="14"/>
      <c r="W151" s="14"/>
      <c r="X151" s="14"/>
      <c r="Y151" s="13"/>
      <c r="Z151" s="44"/>
      <c r="AA151" s="43"/>
      <c r="AB151" s="13"/>
      <c r="AC151" s="13"/>
      <c r="AD151" s="13"/>
      <c r="AE151" s="13"/>
      <c r="AF151" s="13"/>
      <c r="AG151" s="13"/>
      <c r="AH151" s="13"/>
      <c r="AI151" s="13"/>
      <c r="AJ151" s="13"/>
      <c r="AK151" s="44"/>
    </row>
    <row r="152" spans="1:38" ht="12.75" customHeight="1">
      <c r="A152" s="41">
        <v>423</v>
      </c>
      <c r="B152" s="10">
        <v>1119</v>
      </c>
      <c r="C152" s="10" t="s">
        <v>465</v>
      </c>
      <c r="D152" s="16">
        <v>910.25</v>
      </c>
      <c r="E152" s="20" t="s">
        <v>466</v>
      </c>
      <c r="F152" s="20" t="s">
        <v>467</v>
      </c>
      <c r="G152" s="12">
        <v>1</v>
      </c>
      <c r="H152" s="12">
        <v>1</v>
      </c>
      <c r="I152" s="16">
        <f>ROUND(G152,0)</f>
        <v>1</v>
      </c>
      <c r="J152" s="16">
        <f>ROUND(H152,0)</f>
        <v>1</v>
      </c>
      <c r="K152" s="18" t="str">
        <f>IF(I152=J152,"TAM",(CONCATENATE(G152,"/",H152)))</f>
        <v>TAM</v>
      </c>
      <c r="L152" s="29">
        <f>910.25*1/1</f>
        <v>910.25</v>
      </c>
      <c r="M152" s="30">
        <v>0</v>
      </c>
      <c r="N152" s="16" t="str">
        <f>IF(M152=0,"0",(O152*M152))</f>
        <v>0</v>
      </c>
      <c r="O152" s="16">
        <f>IF(W152=1,L152,((D152*G152/H152)-P152)/(1-V152)-S152-T152)</f>
        <v>910.25</v>
      </c>
      <c r="P152" s="16">
        <v>0</v>
      </c>
      <c r="Q152" s="16">
        <f>IF(U152=0,"0",O152*U152)</f>
        <v>304.70840096810997</v>
      </c>
      <c r="R152" s="17">
        <f>IF(U152=0,(((D152*G152/H152)-P152-S152-T152)/(1-V152)),(((D152*G152/H152)-P152-S152-T152)/(1-V152))-((D152*G152/H152)-P152-S152-T152)*U152/(1-V152))</f>
        <v>605.54159903189</v>
      </c>
      <c r="S152" s="12">
        <v>0</v>
      </c>
      <c r="T152" s="12">
        <v>0</v>
      </c>
      <c r="U152" s="12">
        <v>0.334752431714485</v>
      </c>
      <c r="V152" s="12">
        <v>0</v>
      </c>
      <c r="W152" s="28">
        <f>IF(V152&gt;U152,1,V152)</f>
        <v>0</v>
      </c>
      <c r="X152" s="12">
        <v>1</v>
      </c>
      <c r="Y152" s="16">
        <v>0</v>
      </c>
      <c r="Z152" s="42" t="str">
        <f>IF(OR(W152=1,W152=0),"0",(Q152-N152))</f>
        <v>0</v>
      </c>
      <c r="AA152" s="53" t="s">
        <v>468</v>
      </c>
      <c r="AB152" s="16" t="s">
        <v>470</v>
      </c>
      <c r="AC152" s="16">
        <v>499.41</v>
      </c>
      <c r="AD152" s="16">
        <v>499.41</v>
      </c>
      <c r="AE152" s="16">
        <f>ROUND(AC152*100,0)</f>
        <v>49941</v>
      </c>
      <c r="AF152" s="16">
        <f>ROUND(AD152*100,0)</f>
        <v>49941</v>
      </c>
      <c r="AG152" s="19" t="str">
        <f>IF(AC152=AD152,"TAM",(CONCATENATE(AE152,"/",AF152)))</f>
        <v>TAM</v>
      </c>
      <c r="AH152" s="11" t="s">
        <v>50</v>
      </c>
      <c r="AI152" s="21" t="s">
        <v>50</v>
      </c>
      <c r="AJ152" s="21" t="s">
        <v>469</v>
      </c>
      <c r="AK152" s="54" t="s">
        <v>50</v>
      </c>
      <c r="AL152" s="1" t="s">
        <v>50</v>
      </c>
    </row>
    <row r="153" spans="1:37" ht="12.75" customHeight="1">
      <c r="A153" s="43"/>
      <c r="B153" s="13"/>
      <c r="C153" s="13"/>
      <c r="D153" s="31"/>
      <c r="E153" s="14" t="s">
        <v>50</v>
      </c>
      <c r="F153" s="14"/>
      <c r="G153" s="14"/>
      <c r="H153" s="14"/>
      <c r="I153" s="31"/>
      <c r="J153" s="31"/>
      <c r="K153" s="15"/>
      <c r="L153" s="15"/>
      <c r="M153" s="15"/>
      <c r="N153" s="15"/>
      <c r="O153" s="15"/>
      <c r="P153" s="14"/>
      <c r="Q153" s="14"/>
      <c r="R153" s="14"/>
      <c r="S153" s="14"/>
      <c r="T153" s="14"/>
      <c r="U153" s="14"/>
      <c r="V153" s="14"/>
      <c r="W153" s="14"/>
      <c r="X153" s="14"/>
      <c r="Y153" s="13"/>
      <c r="Z153" s="44"/>
      <c r="AA153" s="43"/>
      <c r="AB153" s="13"/>
      <c r="AC153" s="13"/>
      <c r="AD153" s="13"/>
      <c r="AE153" s="13"/>
      <c r="AF153" s="13"/>
      <c r="AG153" s="13"/>
      <c r="AH153" s="13"/>
      <c r="AI153" s="13"/>
      <c r="AJ153" s="13"/>
      <c r="AK153" s="44"/>
    </row>
    <row r="154" spans="1:38" ht="12.75" customHeight="1">
      <c r="A154" s="41">
        <v>193</v>
      </c>
      <c r="B154" s="10">
        <v>1062</v>
      </c>
      <c r="C154" s="10" t="s">
        <v>471</v>
      </c>
      <c r="D154" s="16">
        <v>304.36</v>
      </c>
      <c r="E154" s="20" t="s">
        <v>472</v>
      </c>
      <c r="F154" s="20" t="s">
        <v>473</v>
      </c>
      <c r="G154" s="12">
        <v>1</v>
      </c>
      <c r="H154" s="12">
        <v>4</v>
      </c>
      <c r="I154" s="16">
        <f>ROUND(G154,0)</f>
        <v>1</v>
      </c>
      <c r="J154" s="16">
        <f>ROUND(H154,0)</f>
        <v>4</v>
      </c>
      <c r="K154" s="18" t="str">
        <f>IF(I154=J154,"TAM",(CONCATENATE(G154,"/",H154)))</f>
        <v>1/4</v>
      </c>
      <c r="L154" s="29">
        <f>304.36*1/4</f>
        <v>76.09</v>
      </c>
      <c r="M154" s="30">
        <v>0</v>
      </c>
      <c r="N154" s="16" t="str">
        <f>IF(M154=0,"0",(O154*M154))</f>
        <v>0</v>
      </c>
      <c r="O154" s="16">
        <f>IF(W154=1,L154,((D154*G154/H154)-P154)/(1-V154)-S154-T154)</f>
        <v>76.09</v>
      </c>
      <c r="P154" s="16">
        <v>0</v>
      </c>
      <c r="Q154" s="16">
        <f>IF(U154=0,"0",O154*U154)</f>
        <v>25.471312529155163</v>
      </c>
      <c r="R154" s="17">
        <f>IF(U154=0,(((D154*G154/H154)-P154-S154-T154)/(1-V154)),(((D154*G154/H154)-P154-S154-T154)/(1-V154))-((D154*G154/H154)-P154-S154-T154)*U154/(1-V154))</f>
        <v>50.61868747084484</v>
      </c>
      <c r="S154" s="12">
        <v>0</v>
      </c>
      <c r="T154" s="12">
        <v>0</v>
      </c>
      <c r="U154" s="12">
        <v>0.334752431714485</v>
      </c>
      <c r="V154" s="12">
        <v>0</v>
      </c>
      <c r="W154" s="28">
        <f>IF(V154&gt;U154,1,V154)</f>
        <v>0</v>
      </c>
      <c r="X154" s="12">
        <v>1</v>
      </c>
      <c r="Y154" s="16">
        <v>0</v>
      </c>
      <c r="Z154" s="42" t="str">
        <f>IF(OR(W154=1,W154=0),"0",(Q154-N154))</f>
        <v>0</v>
      </c>
      <c r="AA154" s="53" t="s">
        <v>474</v>
      </c>
      <c r="AB154" s="16" t="s">
        <v>476</v>
      </c>
      <c r="AC154" s="16">
        <v>6.05</v>
      </c>
      <c r="AD154" s="16">
        <v>743.63</v>
      </c>
      <c r="AE154" s="16">
        <f>ROUND(AC154*100,0)</f>
        <v>605</v>
      </c>
      <c r="AF154" s="16">
        <f>ROUND(AD154*100,0)</f>
        <v>74363</v>
      </c>
      <c r="AG154" s="19" t="str">
        <f>IF(AC154=AD154,"TAM",(CONCATENATE(AE154,"/",AF154)))</f>
        <v>605/74363</v>
      </c>
      <c r="AH154" s="11" t="s">
        <v>50</v>
      </c>
      <c r="AI154" s="21" t="s">
        <v>50</v>
      </c>
      <c r="AJ154" s="21" t="s">
        <v>475</v>
      </c>
      <c r="AK154" s="54" t="s">
        <v>50</v>
      </c>
      <c r="AL154" s="1" t="s">
        <v>50</v>
      </c>
    </row>
    <row r="155" spans="1:37" ht="12.75" customHeight="1">
      <c r="A155" s="43"/>
      <c r="B155" s="13"/>
      <c r="C155" s="13"/>
      <c r="D155" s="31"/>
      <c r="E155" s="14" t="s">
        <v>50</v>
      </c>
      <c r="F155" s="14"/>
      <c r="G155" s="14"/>
      <c r="H155" s="14"/>
      <c r="I155" s="31"/>
      <c r="J155" s="31"/>
      <c r="K155" s="15"/>
      <c r="L155" s="15"/>
      <c r="M155" s="15"/>
      <c r="N155" s="15"/>
      <c r="O155" s="15"/>
      <c r="P155" s="14"/>
      <c r="Q155" s="14"/>
      <c r="R155" s="14"/>
      <c r="S155" s="14"/>
      <c r="T155" s="14"/>
      <c r="U155" s="14"/>
      <c r="V155" s="14"/>
      <c r="W155" s="14"/>
      <c r="X155" s="14"/>
      <c r="Y155" s="13"/>
      <c r="Z155" s="44"/>
      <c r="AA155" s="43"/>
      <c r="AB155" s="13"/>
      <c r="AC155" s="13"/>
      <c r="AD155" s="13"/>
      <c r="AE155" s="13"/>
      <c r="AF155" s="13"/>
      <c r="AG155" s="13"/>
      <c r="AH155" s="13"/>
      <c r="AI155" s="13"/>
      <c r="AJ155" s="13"/>
      <c r="AK155" s="44"/>
    </row>
    <row r="156" spans="1:38" ht="12.75" customHeight="1">
      <c r="A156" s="41">
        <v>195</v>
      </c>
      <c r="B156" s="10">
        <v>1062</v>
      </c>
      <c r="C156" s="10" t="s">
        <v>477</v>
      </c>
      <c r="D156" s="16">
        <v>304.36</v>
      </c>
      <c r="E156" s="20" t="s">
        <v>478</v>
      </c>
      <c r="F156" s="20" t="s">
        <v>479</v>
      </c>
      <c r="G156" s="12">
        <v>1</v>
      </c>
      <c r="H156" s="12">
        <v>4</v>
      </c>
      <c r="I156" s="16">
        <f>ROUND(G156,0)</f>
        <v>1</v>
      </c>
      <c r="J156" s="16">
        <f>ROUND(H156,0)</f>
        <v>4</v>
      </c>
      <c r="K156" s="18" t="str">
        <f>IF(I156=J156,"TAM",(CONCATENATE(G156,"/",H156)))</f>
        <v>1/4</v>
      </c>
      <c r="L156" s="29">
        <f>304.36*1/4</f>
        <v>76.09</v>
      </c>
      <c r="M156" s="30">
        <v>0</v>
      </c>
      <c r="N156" s="16" t="str">
        <f>IF(M156=0,"0",(O156*M156))</f>
        <v>0</v>
      </c>
      <c r="O156" s="16">
        <f>IF(W156=1,L156,((D156*G156/H156)-P156)/(1-V156)-S156-T156)</f>
        <v>76.09</v>
      </c>
      <c r="P156" s="16">
        <v>0</v>
      </c>
      <c r="Q156" s="16">
        <f>IF(U156=0,"0",O156*U156)</f>
        <v>25.471312529155163</v>
      </c>
      <c r="R156" s="17">
        <f>IF(U156=0,(((D156*G156/H156)-P156-S156-T156)/(1-V156)),(((D156*G156/H156)-P156-S156-T156)/(1-V156))-((D156*G156/H156)-P156-S156-T156)*U156/(1-V156))</f>
        <v>50.61868747084484</v>
      </c>
      <c r="S156" s="12">
        <v>0</v>
      </c>
      <c r="T156" s="12">
        <v>0</v>
      </c>
      <c r="U156" s="12">
        <v>0.334752431714485</v>
      </c>
      <c r="V156" s="12">
        <v>0</v>
      </c>
      <c r="W156" s="28">
        <f>IF(V156&gt;U156,1,V156)</f>
        <v>0</v>
      </c>
      <c r="X156" s="12">
        <v>1</v>
      </c>
      <c r="Y156" s="16">
        <v>0</v>
      </c>
      <c r="Z156" s="42" t="str">
        <f>IF(OR(W156=1,W156=0),"0",(Q156-N156))</f>
        <v>0</v>
      </c>
      <c r="AA156" s="53" t="s">
        <v>481</v>
      </c>
      <c r="AB156" s="16" t="s">
        <v>483</v>
      </c>
      <c r="AC156" s="16">
        <v>6.05</v>
      </c>
      <c r="AD156" s="16">
        <v>743.63</v>
      </c>
      <c r="AE156" s="16">
        <f>ROUND(AC156*100,0)</f>
        <v>605</v>
      </c>
      <c r="AF156" s="16">
        <f>ROUND(AD156*100,0)</f>
        <v>74363</v>
      </c>
      <c r="AG156" s="19" t="str">
        <f>IF(AC156=AD156,"TAM",(CONCATENATE(AE156,"/",AF156)))</f>
        <v>605/74363</v>
      </c>
      <c r="AH156" s="11" t="s">
        <v>50</v>
      </c>
      <c r="AI156" s="21" t="s">
        <v>50</v>
      </c>
      <c r="AJ156" s="21" t="s">
        <v>482</v>
      </c>
      <c r="AK156" s="54" t="s">
        <v>50</v>
      </c>
      <c r="AL156" s="1" t="s">
        <v>50</v>
      </c>
    </row>
    <row r="157" spans="1:37" ht="33" customHeight="1">
      <c r="A157" s="43"/>
      <c r="B157" s="13"/>
      <c r="C157" s="13"/>
      <c r="D157" s="31"/>
      <c r="E157" s="34" t="s">
        <v>480</v>
      </c>
      <c r="F157" s="14"/>
      <c r="G157" s="14"/>
      <c r="H157" s="14"/>
      <c r="I157" s="31"/>
      <c r="J157" s="31"/>
      <c r="K157" s="15"/>
      <c r="L157" s="15"/>
      <c r="M157" s="15"/>
      <c r="N157" s="15"/>
      <c r="O157" s="15"/>
      <c r="P157" s="14"/>
      <c r="Q157" s="14"/>
      <c r="R157" s="14"/>
      <c r="S157" s="14"/>
      <c r="T157" s="14"/>
      <c r="U157" s="14"/>
      <c r="V157" s="14"/>
      <c r="W157" s="14"/>
      <c r="X157" s="14"/>
      <c r="Y157" s="13"/>
      <c r="Z157" s="44"/>
      <c r="AA157" s="43"/>
      <c r="AB157" s="13"/>
      <c r="AC157" s="13"/>
      <c r="AD157" s="13"/>
      <c r="AE157" s="13"/>
      <c r="AF157" s="13"/>
      <c r="AG157" s="13"/>
      <c r="AH157" s="13"/>
      <c r="AI157" s="13"/>
      <c r="AJ157" s="13"/>
      <c r="AK157" s="44"/>
    </row>
    <row r="158" spans="1:38" ht="12.75" customHeight="1">
      <c r="A158" s="41">
        <v>199</v>
      </c>
      <c r="B158" s="10">
        <v>1062</v>
      </c>
      <c r="C158" s="10" t="s">
        <v>484</v>
      </c>
      <c r="D158" s="16">
        <v>304.36</v>
      </c>
      <c r="E158" s="20" t="s">
        <v>485</v>
      </c>
      <c r="F158" s="20" t="s">
        <v>486</v>
      </c>
      <c r="G158" s="12">
        <v>1</v>
      </c>
      <c r="H158" s="12">
        <v>4</v>
      </c>
      <c r="I158" s="16">
        <f>ROUND(G158,0)</f>
        <v>1</v>
      </c>
      <c r="J158" s="16">
        <f>ROUND(H158,0)</f>
        <v>4</v>
      </c>
      <c r="K158" s="18" t="str">
        <f>IF(I158=J158,"TAM",(CONCATENATE(G158,"/",H158)))</f>
        <v>1/4</v>
      </c>
      <c r="L158" s="29">
        <f>304.36*1/4</f>
        <v>76.09</v>
      </c>
      <c r="M158" s="30">
        <v>0</v>
      </c>
      <c r="N158" s="16" t="str">
        <f>IF(M158=0,"0",(O158*M158))</f>
        <v>0</v>
      </c>
      <c r="O158" s="16">
        <f>IF(W158=1,L158,((D158*G158/H158)-P158)/(1-V158)-S158-T158)</f>
        <v>76.09</v>
      </c>
      <c r="P158" s="16">
        <v>0</v>
      </c>
      <c r="Q158" s="16">
        <f>IF(U158=0,"0",O158*U158)</f>
        <v>25.471312529155163</v>
      </c>
      <c r="R158" s="17">
        <f>IF(U158=0,(((D158*G158/H158)-P158-S158-T158)/(1-V158)),(((D158*G158/H158)-P158-S158-T158)/(1-V158))-((D158*G158/H158)-P158-S158-T158)*U158/(1-V158))</f>
        <v>50.61868747084484</v>
      </c>
      <c r="S158" s="12">
        <v>0</v>
      </c>
      <c r="T158" s="12">
        <v>0</v>
      </c>
      <c r="U158" s="12">
        <v>0.334752431714485</v>
      </c>
      <c r="V158" s="12">
        <v>0</v>
      </c>
      <c r="W158" s="28">
        <f>IF(V158&gt;U158,1,V158)</f>
        <v>0</v>
      </c>
      <c r="X158" s="12">
        <v>1</v>
      </c>
      <c r="Y158" s="16">
        <v>0</v>
      </c>
      <c r="Z158" s="42" t="str">
        <f>IF(OR(W158=1,W158=0),"0",(Q158-N158))</f>
        <v>0</v>
      </c>
      <c r="AA158" s="53" t="s">
        <v>488</v>
      </c>
      <c r="AB158" s="16" t="s">
        <v>490</v>
      </c>
      <c r="AC158" s="16">
        <v>6.06</v>
      </c>
      <c r="AD158" s="16">
        <v>743.63</v>
      </c>
      <c r="AE158" s="16">
        <f>ROUND(AC158*100,0)</f>
        <v>606</v>
      </c>
      <c r="AF158" s="16">
        <f>ROUND(AD158*100,0)</f>
        <v>74363</v>
      </c>
      <c r="AG158" s="19" t="str">
        <f>IF(AC158=AD158,"TAM",(CONCATENATE(AE158,"/",AF158)))</f>
        <v>606/74363</v>
      </c>
      <c r="AH158" s="11" t="s">
        <v>50</v>
      </c>
      <c r="AI158" s="21" t="s">
        <v>50</v>
      </c>
      <c r="AJ158" s="21" t="s">
        <v>489</v>
      </c>
      <c r="AK158" s="54" t="s">
        <v>50</v>
      </c>
      <c r="AL158" s="1" t="s">
        <v>50</v>
      </c>
    </row>
    <row r="159" spans="1:37" ht="33" customHeight="1">
      <c r="A159" s="43"/>
      <c r="B159" s="13"/>
      <c r="C159" s="13"/>
      <c r="D159" s="31"/>
      <c r="E159" s="34" t="s">
        <v>487</v>
      </c>
      <c r="F159" s="14"/>
      <c r="G159" s="14"/>
      <c r="H159" s="14"/>
      <c r="I159" s="31"/>
      <c r="J159" s="31"/>
      <c r="K159" s="15"/>
      <c r="L159" s="15"/>
      <c r="M159" s="15"/>
      <c r="N159" s="15"/>
      <c r="O159" s="15"/>
      <c r="P159" s="14"/>
      <c r="Q159" s="14"/>
      <c r="R159" s="14"/>
      <c r="S159" s="14"/>
      <c r="T159" s="14"/>
      <c r="U159" s="14"/>
      <c r="V159" s="14"/>
      <c r="W159" s="14"/>
      <c r="X159" s="14"/>
      <c r="Y159" s="13"/>
      <c r="Z159" s="44"/>
      <c r="AA159" s="43"/>
      <c r="AB159" s="13"/>
      <c r="AC159" s="13"/>
      <c r="AD159" s="13"/>
      <c r="AE159" s="13"/>
      <c r="AF159" s="13"/>
      <c r="AG159" s="13"/>
      <c r="AH159" s="13"/>
      <c r="AI159" s="13"/>
      <c r="AJ159" s="13"/>
      <c r="AK159" s="44"/>
    </row>
    <row r="160" spans="1:38" ht="12.75" customHeight="1">
      <c r="A160" s="41">
        <v>194</v>
      </c>
      <c r="B160" s="10">
        <v>1062</v>
      </c>
      <c r="C160" s="10" t="s">
        <v>491</v>
      </c>
      <c r="D160" s="16">
        <v>304.36</v>
      </c>
      <c r="E160" s="20" t="s">
        <v>492</v>
      </c>
      <c r="F160" s="20" t="s">
        <v>493</v>
      </c>
      <c r="G160" s="12">
        <v>1</v>
      </c>
      <c r="H160" s="12">
        <v>4</v>
      </c>
      <c r="I160" s="16">
        <f>ROUND(G160,0)</f>
        <v>1</v>
      </c>
      <c r="J160" s="16">
        <f>ROUND(H160,0)</f>
        <v>4</v>
      </c>
      <c r="K160" s="18" t="str">
        <f>IF(I160=J160,"TAM",(CONCATENATE(G160,"/",H160)))</f>
        <v>1/4</v>
      </c>
      <c r="L160" s="29">
        <f>304.36*1/4</f>
        <v>76.09</v>
      </c>
      <c r="M160" s="30">
        <v>0</v>
      </c>
      <c r="N160" s="16" t="str">
        <f>IF(M160=0,"0",(O160*M160))</f>
        <v>0</v>
      </c>
      <c r="O160" s="16">
        <f>IF(W160=1,L160,((D160*G160/H160)-P160)/(1-V160)-S160-T160)</f>
        <v>76.09</v>
      </c>
      <c r="P160" s="16">
        <v>0</v>
      </c>
      <c r="Q160" s="16">
        <f>IF(U160=0,"0",O160*U160)</f>
        <v>25.471312529155163</v>
      </c>
      <c r="R160" s="17">
        <f>IF(U160=0,(((D160*G160/H160)-P160-S160-T160)/(1-V160)),(((D160*G160/H160)-P160-S160-T160)/(1-V160))-((D160*G160/H160)-P160-S160-T160)*U160/(1-V160))</f>
        <v>50.61868747084484</v>
      </c>
      <c r="S160" s="12">
        <v>0</v>
      </c>
      <c r="T160" s="12">
        <v>0</v>
      </c>
      <c r="U160" s="12">
        <v>0.334752431714485</v>
      </c>
      <c r="V160" s="12">
        <v>0</v>
      </c>
      <c r="W160" s="28">
        <f>IF(V160&gt;U160,1,V160)</f>
        <v>0</v>
      </c>
      <c r="X160" s="12">
        <v>1</v>
      </c>
      <c r="Y160" s="16">
        <v>0</v>
      </c>
      <c r="Z160" s="42" t="str">
        <f>IF(OR(W160=1,W160=0),"0",(Q160-N160))</f>
        <v>0</v>
      </c>
      <c r="AA160" s="53" t="s">
        <v>494</v>
      </c>
      <c r="AB160" s="16" t="s">
        <v>496</v>
      </c>
      <c r="AC160" s="16">
        <v>6.05</v>
      </c>
      <c r="AD160" s="16">
        <v>743.63</v>
      </c>
      <c r="AE160" s="16">
        <f>ROUND(AC160*100,0)</f>
        <v>605</v>
      </c>
      <c r="AF160" s="16">
        <f>ROUND(AD160*100,0)</f>
        <v>74363</v>
      </c>
      <c r="AG160" s="19" t="str">
        <f>IF(AC160=AD160,"TAM",(CONCATENATE(AE160,"/",AF160)))</f>
        <v>605/74363</v>
      </c>
      <c r="AH160" s="11" t="s">
        <v>50</v>
      </c>
      <c r="AI160" s="21" t="s">
        <v>50</v>
      </c>
      <c r="AJ160" s="21" t="s">
        <v>495</v>
      </c>
      <c r="AK160" s="54" t="s">
        <v>50</v>
      </c>
      <c r="AL160" s="1" t="s">
        <v>50</v>
      </c>
    </row>
    <row r="161" spans="1:37" ht="12.75" customHeight="1">
      <c r="A161" s="43"/>
      <c r="B161" s="13"/>
      <c r="C161" s="13"/>
      <c r="D161" s="31"/>
      <c r="E161" s="14" t="s">
        <v>50</v>
      </c>
      <c r="F161" s="14"/>
      <c r="G161" s="14"/>
      <c r="H161" s="14"/>
      <c r="I161" s="31"/>
      <c r="J161" s="31"/>
      <c r="K161" s="15"/>
      <c r="L161" s="15"/>
      <c r="M161" s="15"/>
      <c r="N161" s="15"/>
      <c r="O161" s="15"/>
      <c r="P161" s="14"/>
      <c r="Q161" s="14"/>
      <c r="R161" s="14"/>
      <c r="S161" s="14"/>
      <c r="T161" s="14"/>
      <c r="U161" s="14"/>
      <c r="V161" s="14"/>
      <c r="W161" s="14"/>
      <c r="X161" s="14"/>
      <c r="Y161" s="13"/>
      <c r="Z161" s="44"/>
      <c r="AA161" s="43"/>
      <c r="AB161" s="13"/>
      <c r="AC161" s="13"/>
      <c r="AD161" s="13"/>
      <c r="AE161" s="13"/>
      <c r="AF161" s="13"/>
      <c r="AG161" s="13"/>
      <c r="AH161" s="13"/>
      <c r="AI161" s="13"/>
      <c r="AJ161" s="13"/>
      <c r="AK161" s="44"/>
    </row>
    <row r="162" spans="1:38" ht="12.75" customHeight="1">
      <c r="A162" s="41">
        <v>308</v>
      </c>
      <c r="B162" s="10">
        <v>1096</v>
      </c>
      <c r="C162" s="10" t="s">
        <v>497</v>
      </c>
      <c r="D162" s="16">
        <v>753.67</v>
      </c>
      <c r="E162" s="20" t="s">
        <v>498</v>
      </c>
      <c r="F162" s="20" t="s">
        <v>499</v>
      </c>
      <c r="G162" s="12">
        <v>1</v>
      </c>
      <c r="H162" s="12">
        <v>1</v>
      </c>
      <c r="I162" s="16">
        <f>ROUND(G162,0)</f>
        <v>1</v>
      </c>
      <c r="J162" s="16">
        <f>ROUND(H162,0)</f>
        <v>1</v>
      </c>
      <c r="K162" s="18" t="str">
        <f>IF(I162=J162,"TAM",(CONCATENATE(G162,"/",H162)))</f>
        <v>TAM</v>
      </c>
      <c r="L162" s="29">
        <f>753.67*1/1</f>
        <v>753.67</v>
      </c>
      <c r="M162" s="30">
        <v>0</v>
      </c>
      <c r="N162" s="16" t="str">
        <f>IF(M162=0,"0",(O162*M162))</f>
        <v>0</v>
      </c>
      <c r="O162" s="16">
        <f>IF(W162=1,L162,((D162*G162/H162)-P162)/(1-V162)-S162-T162)</f>
        <v>753.67</v>
      </c>
      <c r="P162" s="16">
        <v>0</v>
      </c>
      <c r="Q162" s="16">
        <f>IF(U162=0,"0",O162*U162)</f>
        <v>252.29286521025588</v>
      </c>
      <c r="R162" s="17">
        <f>IF(U162=0,(((D162*G162/H162)-P162-S162-T162)/(1-V162)),(((D162*G162/H162)-P162-S162-T162)/(1-V162))-((D162*G162/H162)-P162-S162-T162)*U162/(1-V162))</f>
        <v>501.3771347897441</v>
      </c>
      <c r="S162" s="12">
        <v>0</v>
      </c>
      <c r="T162" s="12">
        <v>0</v>
      </c>
      <c r="U162" s="12">
        <v>0.334752431714485</v>
      </c>
      <c r="V162" s="12">
        <v>0</v>
      </c>
      <c r="W162" s="28">
        <f>IF(V162&gt;U162,1,V162)</f>
        <v>0</v>
      </c>
      <c r="X162" s="12">
        <v>1</v>
      </c>
      <c r="Y162" s="16">
        <v>0</v>
      </c>
      <c r="Z162" s="42" t="str">
        <f>IF(OR(W162=1,W162=0),"0",(Q162-N162))</f>
        <v>0</v>
      </c>
      <c r="AA162" s="53" t="s">
        <v>500</v>
      </c>
      <c r="AB162" s="16" t="s">
        <v>502</v>
      </c>
      <c r="AC162" s="16">
        <v>277.61</v>
      </c>
      <c r="AD162" s="16">
        <v>743.63</v>
      </c>
      <c r="AE162" s="16">
        <f>ROUND(AC162*100,0)</f>
        <v>27761</v>
      </c>
      <c r="AF162" s="16">
        <f>ROUND(AD162*100,0)</f>
        <v>74363</v>
      </c>
      <c r="AG162" s="19" t="str">
        <f>IF(AC162=AD162,"TAM",(CONCATENATE(AE162,"/",AF162)))</f>
        <v>27761/74363</v>
      </c>
      <c r="AH162" s="11" t="s">
        <v>50</v>
      </c>
      <c r="AI162" s="21" t="s">
        <v>50</v>
      </c>
      <c r="AJ162" s="21" t="s">
        <v>501</v>
      </c>
      <c r="AK162" s="54" t="s">
        <v>50</v>
      </c>
      <c r="AL162" s="1" t="s">
        <v>50</v>
      </c>
    </row>
    <row r="163" spans="1:37" ht="12.75" customHeight="1">
      <c r="A163" s="43"/>
      <c r="B163" s="13"/>
      <c r="C163" s="13"/>
      <c r="D163" s="31"/>
      <c r="E163" s="14" t="s">
        <v>50</v>
      </c>
      <c r="F163" s="14"/>
      <c r="G163" s="14"/>
      <c r="H163" s="14"/>
      <c r="I163" s="31"/>
      <c r="J163" s="31"/>
      <c r="K163" s="15"/>
      <c r="L163" s="15"/>
      <c r="M163" s="15"/>
      <c r="N163" s="15"/>
      <c r="O163" s="15"/>
      <c r="P163" s="14"/>
      <c r="Q163" s="14"/>
      <c r="R163" s="14"/>
      <c r="S163" s="14"/>
      <c r="T163" s="14"/>
      <c r="U163" s="14"/>
      <c r="V163" s="14"/>
      <c r="W163" s="14"/>
      <c r="X163" s="14"/>
      <c r="Y163" s="13"/>
      <c r="Z163" s="44"/>
      <c r="AA163" s="43"/>
      <c r="AB163" s="13"/>
      <c r="AC163" s="13"/>
      <c r="AD163" s="13"/>
      <c r="AE163" s="13"/>
      <c r="AF163" s="13"/>
      <c r="AG163" s="13"/>
      <c r="AH163" s="13"/>
      <c r="AI163" s="13"/>
      <c r="AJ163" s="13"/>
      <c r="AK163" s="44"/>
    </row>
    <row r="164" spans="1:38" ht="12.75" customHeight="1">
      <c r="A164" s="41">
        <v>324</v>
      </c>
      <c r="B164" s="10">
        <v>1101</v>
      </c>
      <c r="C164" s="10" t="s">
        <v>503</v>
      </c>
      <c r="D164" s="16">
        <v>332.18</v>
      </c>
      <c r="E164" s="20" t="s">
        <v>504</v>
      </c>
      <c r="F164" s="20" t="s">
        <v>505</v>
      </c>
      <c r="G164" s="12">
        <v>1</v>
      </c>
      <c r="H164" s="12">
        <v>1</v>
      </c>
      <c r="I164" s="16">
        <f>ROUND(G164,0)</f>
        <v>1</v>
      </c>
      <c r="J164" s="16">
        <f>ROUND(H164,0)</f>
        <v>1</v>
      </c>
      <c r="K164" s="18" t="str">
        <f>IF(I164=J164,"TAM",(CONCATENATE(G164,"/",H164)))</f>
        <v>TAM</v>
      </c>
      <c r="L164" s="29">
        <f>332.18*1/1</f>
        <v>332.18</v>
      </c>
      <c r="M164" s="30">
        <v>0</v>
      </c>
      <c r="N164" s="16" t="str">
        <f>IF(M164=0,"0",(O164*M164))</f>
        <v>0</v>
      </c>
      <c r="O164" s="16">
        <f>IF(W164=1,L164,((D164*G164/H164)-P164)/(1-V164)-S164-T164)</f>
        <v>332.18</v>
      </c>
      <c r="P164" s="16">
        <v>0</v>
      </c>
      <c r="Q164" s="16">
        <f>IF(U164=0,"0",O164*U164)</f>
        <v>111.19806276691763</v>
      </c>
      <c r="R164" s="17">
        <f>IF(U164=0,(((D164*G164/H164)-P164-S164-T164)/(1-V164)),(((D164*G164/H164)-P164-S164-T164)/(1-V164))-((D164*G164/H164)-P164-S164-T164)*U164/(1-V164))</f>
        <v>220.98193723308236</v>
      </c>
      <c r="S164" s="12">
        <v>0</v>
      </c>
      <c r="T164" s="12">
        <v>0</v>
      </c>
      <c r="U164" s="12">
        <v>0.334752431714485</v>
      </c>
      <c r="V164" s="12">
        <v>0</v>
      </c>
      <c r="W164" s="28">
        <f>IF(V164&gt;U164,1,V164)</f>
        <v>0</v>
      </c>
      <c r="X164" s="12">
        <v>1</v>
      </c>
      <c r="Y164" s="16">
        <v>0</v>
      </c>
      <c r="Z164" s="42" t="str">
        <f>IF(OR(W164=1,W164=0),"0",(Q164-N164))</f>
        <v>0</v>
      </c>
      <c r="AA164" s="53" t="s">
        <v>506</v>
      </c>
      <c r="AB164" s="16" t="s">
        <v>508</v>
      </c>
      <c r="AC164" s="16">
        <v>120.65</v>
      </c>
      <c r="AD164" s="16">
        <v>743.63</v>
      </c>
      <c r="AE164" s="16">
        <f>ROUND(AC164*100,0)</f>
        <v>12065</v>
      </c>
      <c r="AF164" s="16">
        <f>ROUND(AD164*100,0)</f>
        <v>74363</v>
      </c>
      <c r="AG164" s="19" t="str">
        <f>IF(AC164=AD164,"TAM",(CONCATENATE(AE164,"/",AF164)))</f>
        <v>12065/74363</v>
      </c>
      <c r="AH164" s="11" t="s">
        <v>50</v>
      </c>
      <c r="AI164" s="21" t="s">
        <v>50</v>
      </c>
      <c r="AJ164" s="21" t="s">
        <v>507</v>
      </c>
      <c r="AK164" s="54" t="s">
        <v>50</v>
      </c>
      <c r="AL164" s="1" t="s">
        <v>50</v>
      </c>
    </row>
    <row r="165" spans="1:37" ht="12.75" customHeight="1">
      <c r="A165" s="43"/>
      <c r="B165" s="13"/>
      <c r="C165" s="13"/>
      <c r="D165" s="31"/>
      <c r="E165" s="14" t="s">
        <v>50</v>
      </c>
      <c r="F165" s="14"/>
      <c r="G165" s="14"/>
      <c r="H165" s="14"/>
      <c r="I165" s="31"/>
      <c r="J165" s="31"/>
      <c r="K165" s="15"/>
      <c r="L165" s="15"/>
      <c r="M165" s="15"/>
      <c r="N165" s="15"/>
      <c r="O165" s="15"/>
      <c r="P165" s="14"/>
      <c r="Q165" s="14"/>
      <c r="R165" s="14"/>
      <c r="S165" s="14"/>
      <c r="T165" s="14"/>
      <c r="U165" s="14"/>
      <c r="V165" s="14"/>
      <c r="W165" s="14"/>
      <c r="X165" s="14"/>
      <c r="Y165" s="13"/>
      <c r="Z165" s="44"/>
      <c r="AA165" s="43"/>
      <c r="AB165" s="13"/>
      <c r="AC165" s="13"/>
      <c r="AD165" s="13"/>
      <c r="AE165" s="13"/>
      <c r="AF165" s="13"/>
      <c r="AG165" s="13"/>
      <c r="AH165" s="13"/>
      <c r="AI165" s="13"/>
      <c r="AJ165" s="13"/>
      <c r="AK165" s="44"/>
    </row>
    <row r="166" spans="1:38" ht="12.75" customHeight="1">
      <c r="A166" s="41">
        <v>325</v>
      </c>
      <c r="B166" s="10">
        <v>1102</v>
      </c>
      <c r="C166" s="10" t="s">
        <v>509</v>
      </c>
      <c r="D166" s="16">
        <v>576.04</v>
      </c>
      <c r="E166" s="20" t="s">
        <v>510</v>
      </c>
      <c r="F166" s="20" t="s">
        <v>511</v>
      </c>
      <c r="G166" s="12">
        <v>1</v>
      </c>
      <c r="H166" s="12">
        <v>1</v>
      </c>
      <c r="I166" s="16">
        <f>ROUND(G166,0)</f>
        <v>1</v>
      </c>
      <c r="J166" s="16">
        <f>ROUND(H166,0)</f>
        <v>1</v>
      </c>
      <c r="K166" s="18" t="str">
        <f>IF(I166=J166,"TAM",(CONCATENATE(G166,"/",H166)))</f>
        <v>TAM</v>
      </c>
      <c r="L166" s="29">
        <f>576.04*1/1</f>
        <v>576.04</v>
      </c>
      <c r="M166" s="30">
        <v>0</v>
      </c>
      <c r="N166" s="16" t="str">
        <f>IF(M166=0,"0",(O166*M166))</f>
        <v>0</v>
      </c>
      <c r="O166" s="16">
        <f>IF(W166=1,L166,((D166*G166/H166)-P166)/(1-V166)-S166-T166)</f>
        <v>576.04</v>
      </c>
      <c r="P166" s="16">
        <v>0</v>
      </c>
      <c r="Q166" s="16">
        <f>IF(U166=0,"0",O166*U166)</f>
        <v>192.83079076481192</v>
      </c>
      <c r="R166" s="17">
        <f>IF(U166=0,(((D166*G166/H166)-P166-S166-T166)/(1-V166)),(((D166*G166/H166)-P166-S166-T166)/(1-V166))-((D166*G166/H166)-P166-S166-T166)*U166/(1-V166))</f>
        <v>383.20920923518804</v>
      </c>
      <c r="S166" s="12">
        <v>0</v>
      </c>
      <c r="T166" s="12">
        <v>0</v>
      </c>
      <c r="U166" s="12">
        <v>0.334752431714485</v>
      </c>
      <c r="V166" s="12">
        <v>0</v>
      </c>
      <c r="W166" s="28">
        <f>IF(V166&gt;U166,1,V166)</f>
        <v>0</v>
      </c>
      <c r="X166" s="12">
        <v>1</v>
      </c>
      <c r="Y166" s="16">
        <v>0</v>
      </c>
      <c r="Z166" s="42" t="str">
        <f>IF(OR(W166=1,W166=0),"0",(Q166-N166))</f>
        <v>0</v>
      </c>
      <c r="AA166" s="53" t="s">
        <v>512</v>
      </c>
      <c r="AB166" s="16" t="s">
        <v>514</v>
      </c>
      <c r="AC166" s="16">
        <v>34.84</v>
      </c>
      <c r="AD166" s="16">
        <v>743.63</v>
      </c>
      <c r="AE166" s="16">
        <f>ROUND(AC166*100,0)</f>
        <v>3484</v>
      </c>
      <c r="AF166" s="16">
        <f>ROUND(AD166*100,0)</f>
        <v>74363</v>
      </c>
      <c r="AG166" s="19" t="str">
        <f>IF(AC166=AD166,"TAM",(CONCATENATE(AE166,"/",AF166)))</f>
        <v>3484/74363</v>
      </c>
      <c r="AH166" s="11" t="s">
        <v>50</v>
      </c>
      <c r="AI166" s="21" t="s">
        <v>50</v>
      </c>
      <c r="AJ166" s="21" t="s">
        <v>513</v>
      </c>
      <c r="AK166" s="54" t="s">
        <v>50</v>
      </c>
      <c r="AL166" s="1" t="s">
        <v>50</v>
      </c>
    </row>
    <row r="167" spans="1:37" ht="12.75" customHeight="1">
      <c r="A167" s="43"/>
      <c r="B167" s="13"/>
      <c r="C167" s="13"/>
      <c r="D167" s="31"/>
      <c r="E167" s="14" t="s">
        <v>50</v>
      </c>
      <c r="F167" s="14"/>
      <c r="G167" s="14"/>
      <c r="H167" s="14"/>
      <c r="I167" s="31"/>
      <c r="J167" s="31"/>
      <c r="K167" s="15"/>
      <c r="L167" s="15"/>
      <c r="M167" s="15"/>
      <c r="N167" s="15"/>
      <c r="O167" s="15"/>
      <c r="P167" s="14"/>
      <c r="Q167" s="14"/>
      <c r="R167" s="14"/>
      <c r="S167" s="14"/>
      <c r="T167" s="14"/>
      <c r="U167" s="14"/>
      <c r="V167" s="14"/>
      <c r="W167" s="14"/>
      <c r="X167" s="14"/>
      <c r="Y167" s="13"/>
      <c r="Z167" s="44"/>
      <c r="AA167" s="43"/>
      <c r="AB167" s="13"/>
      <c r="AC167" s="13"/>
      <c r="AD167" s="13"/>
      <c r="AE167" s="13"/>
      <c r="AF167" s="13"/>
      <c r="AG167" s="13"/>
      <c r="AH167" s="13"/>
      <c r="AI167" s="13"/>
      <c r="AJ167" s="13"/>
      <c r="AK167" s="44"/>
    </row>
    <row r="168" spans="1:38" ht="12.75" customHeight="1">
      <c r="A168" s="41">
        <v>411</v>
      </c>
      <c r="B168" s="10">
        <v>1934</v>
      </c>
      <c r="C168" s="10" t="s">
        <v>515</v>
      </c>
      <c r="D168" s="16">
        <v>366.66</v>
      </c>
      <c r="E168" s="20" t="s">
        <v>516</v>
      </c>
      <c r="F168" s="20" t="s">
        <v>517</v>
      </c>
      <c r="G168" s="12">
        <v>1</v>
      </c>
      <c r="H168" s="12">
        <v>2</v>
      </c>
      <c r="I168" s="16">
        <f>ROUND(G168,0)</f>
        <v>1</v>
      </c>
      <c r="J168" s="16">
        <f>ROUND(H168,0)</f>
        <v>2</v>
      </c>
      <c r="K168" s="18" t="str">
        <f>IF(I168=J168,"TAM",(CONCATENATE(G168,"/",H168)))</f>
        <v>1/2</v>
      </c>
      <c r="L168" s="29">
        <f>366.66*1/2</f>
        <v>183.33</v>
      </c>
      <c r="M168" s="30">
        <v>0.1480759</v>
      </c>
      <c r="N168" s="16">
        <f>IF(M168=0,"0",(O168*M168))</f>
        <v>31.865226898734296</v>
      </c>
      <c r="O168" s="16">
        <f>IF(W168=1,L168,((D168*G168/H168)-P168)/(1-V168)-S168-T168)</f>
        <v>215.19522689873432</v>
      </c>
      <c r="P168" s="16">
        <v>0</v>
      </c>
      <c r="Q168" s="16">
        <f>IF(U168=0,"0",O168*U168)</f>
        <v>72.03712549770167</v>
      </c>
      <c r="R168" s="17">
        <f>IF(U168=0,(((D168*G168/H168)-P168-S168-T168)/(1-V168)),(((D168*G168/H168)-P168-S168-T168)/(1-V168))-((D168*G168/H168)-P168-S168-T168)*U168/(1-V168))</f>
        <v>143.15810140103264</v>
      </c>
      <c r="S168" s="12">
        <v>0</v>
      </c>
      <c r="T168" s="12">
        <v>0</v>
      </c>
      <c r="U168" s="12">
        <v>0.334752431714485</v>
      </c>
      <c r="V168" s="12">
        <v>0.1480759</v>
      </c>
      <c r="W168" s="28">
        <f>IF(V168&gt;U168,1,V168)</f>
        <v>0.1480759</v>
      </c>
      <c r="X168" s="12">
        <v>1</v>
      </c>
      <c r="Y168" s="16">
        <v>0</v>
      </c>
      <c r="Z168" s="42">
        <f>IF(OR(W168=1,W168=0),"0",(Q168-N168))</f>
        <v>40.171898598967374</v>
      </c>
      <c r="AA168" s="53" t="s">
        <v>518</v>
      </c>
      <c r="AB168" s="16" t="s">
        <v>520</v>
      </c>
      <c r="AC168" s="16">
        <v>143.16</v>
      </c>
      <c r="AD168" s="16">
        <v>743.63</v>
      </c>
      <c r="AE168" s="16">
        <f>ROUND(AC168*100,0)</f>
        <v>14316</v>
      </c>
      <c r="AF168" s="16">
        <f>ROUND(AD168*100,0)</f>
        <v>74363</v>
      </c>
      <c r="AG168" s="19" t="str">
        <f>IF(AC168=AD168,"TAM",(CONCATENATE(AE168,"/",AF168)))</f>
        <v>14316/74363</v>
      </c>
      <c r="AH168" s="11" t="s">
        <v>50</v>
      </c>
      <c r="AI168" s="21" t="s">
        <v>50</v>
      </c>
      <c r="AJ168" s="21" t="s">
        <v>519</v>
      </c>
      <c r="AK168" s="54" t="s">
        <v>50</v>
      </c>
      <c r="AL168" s="1" t="s">
        <v>50</v>
      </c>
    </row>
    <row r="169" spans="1:37" ht="12.75" customHeight="1">
      <c r="A169" s="43"/>
      <c r="B169" s="13"/>
      <c r="C169" s="13"/>
      <c r="D169" s="31"/>
      <c r="E169" s="14" t="s">
        <v>50</v>
      </c>
      <c r="F169" s="14"/>
      <c r="G169" s="14"/>
      <c r="H169" s="14"/>
      <c r="I169" s="31"/>
      <c r="J169" s="31"/>
      <c r="K169" s="15"/>
      <c r="L169" s="15"/>
      <c r="M169" s="15"/>
      <c r="N169" s="15"/>
      <c r="O169" s="15"/>
      <c r="P169" s="14"/>
      <c r="Q169" s="14"/>
      <c r="R169" s="14"/>
      <c r="S169" s="14"/>
      <c r="T169" s="14"/>
      <c r="U169" s="14"/>
      <c r="V169" s="14"/>
      <c r="W169" s="14"/>
      <c r="X169" s="14"/>
      <c r="Y169" s="13"/>
      <c r="Z169" s="44"/>
      <c r="AA169" s="43"/>
      <c r="AB169" s="13"/>
      <c r="AC169" s="13"/>
      <c r="AD169" s="13"/>
      <c r="AE169" s="13"/>
      <c r="AF169" s="13"/>
      <c r="AG169" s="13"/>
      <c r="AH169" s="13"/>
      <c r="AI169" s="13"/>
      <c r="AJ169" s="13"/>
      <c r="AK169" s="44"/>
    </row>
    <row r="170" spans="1:38" ht="12.75" customHeight="1">
      <c r="A170" s="41">
        <v>412</v>
      </c>
      <c r="B170" s="10">
        <v>1934</v>
      </c>
      <c r="C170" s="10" t="s">
        <v>521</v>
      </c>
      <c r="D170" s="16">
        <v>366.66</v>
      </c>
      <c r="E170" s="20" t="s">
        <v>522</v>
      </c>
      <c r="F170" s="20" t="s">
        <v>523</v>
      </c>
      <c r="G170" s="12">
        <v>1</v>
      </c>
      <c r="H170" s="12">
        <v>2</v>
      </c>
      <c r="I170" s="16">
        <f>ROUND(G170,0)</f>
        <v>1</v>
      </c>
      <c r="J170" s="16">
        <f>ROUND(H170,0)</f>
        <v>2</v>
      </c>
      <c r="K170" s="18" t="str">
        <f>IF(I170=J170,"TAM",(CONCATENATE(G170,"/",H170)))</f>
        <v>1/2</v>
      </c>
      <c r="L170" s="29">
        <f>366.66*1/2</f>
        <v>183.33</v>
      </c>
      <c r="M170" s="30">
        <v>0.1480759</v>
      </c>
      <c r="N170" s="16">
        <f>IF(M170=0,"0",(O170*M170))</f>
        <v>31.865226898734296</v>
      </c>
      <c r="O170" s="16">
        <f>IF(W170=1,L170,((D170*G170/H170)-P170)/(1-V170)-S170-T170)</f>
        <v>215.19522689873432</v>
      </c>
      <c r="P170" s="16">
        <v>0</v>
      </c>
      <c r="Q170" s="16">
        <f>IF(U170=0,"0",O170*U170)</f>
        <v>72.03712549770167</v>
      </c>
      <c r="R170" s="17">
        <f>IF(U170=0,(((D170*G170/H170)-P170-S170-T170)/(1-V170)),(((D170*G170/H170)-P170-S170-T170)/(1-V170))-((D170*G170/H170)-P170-S170-T170)*U170/(1-V170))</f>
        <v>143.15810140103264</v>
      </c>
      <c r="S170" s="12">
        <v>0</v>
      </c>
      <c r="T170" s="12">
        <v>0</v>
      </c>
      <c r="U170" s="12">
        <v>0.334752431714485</v>
      </c>
      <c r="V170" s="12">
        <v>0.1480759</v>
      </c>
      <c r="W170" s="28">
        <f>IF(V170&gt;U170,1,V170)</f>
        <v>0.1480759</v>
      </c>
      <c r="X170" s="12">
        <v>1</v>
      </c>
      <c r="Y170" s="16">
        <v>0</v>
      </c>
      <c r="Z170" s="42">
        <f>IF(OR(W170=1,W170=0),"0",(Q170-N170))</f>
        <v>40.171898598967374</v>
      </c>
      <c r="AA170" s="53" t="s">
        <v>524</v>
      </c>
      <c r="AB170" s="16" t="s">
        <v>526</v>
      </c>
      <c r="AC170" s="16">
        <v>143.16</v>
      </c>
      <c r="AD170" s="16">
        <v>743.63</v>
      </c>
      <c r="AE170" s="16">
        <f>ROUND(AC170*100,0)</f>
        <v>14316</v>
      </c>
      <c r="AF170" s="16">
        <f>ROUND(AD170*100,0)</f>
        <v>74363</v>
      </c>
      <c r="AG170" s="19" t="str">
        <f>IF(AC170=AD170,"TAM",(CONCATENATE(AE170,"/",AF170)))</f>
        <v>14316/74363</v>
      </c>
      <c r="AH170" s="11" t="s">
        <v>50</v>
      </c>
      <c r="AI170" s="21" t="s">
        <v>50</v>
      </c>
      <c r="AJ170" s="21" t="s">
        <v>525</v>
      </c>
      <c r="AK170" s="54" t="s">
        <v>50</v>
      </c>
      <c r="AL170" s="1" t="s">
        <v>50</v>
      </c>
    </row>
    <row r="171" spans="1:37" ht="12.75" customHeight="1">
      <c r="A171" s="43"/>
      <c r="B171" s="13"/>
      <c r="C171" s="13"/>
      <c r="D171" s="31"/>
      <c r="E171" s="14" t="s">
        <v>50</v>
      </c>
      <c r="F171" s="14"/>
      <c r="G171" s="14"/>
      <c r="H171" s="14"/>
      <c r="I171" s="31"/>
      <c r="J171" s="31"/>
      <c r="K171" s="15"/>
      <c r="L171" s="15"/>
      <c r="M171" s="15"/>
      <c r="N171" s="15"/>
      <c r="O171" s="15"/>
      <c r="P171" s="14"/>
      <c r="Q171" s="14"/>
      <c r="R171" s="14"/>
      <c r="S171" s="14"/>
      <c r="T171" s="14"/>
      <c r="U171" s="14"/>
      <c r="V171" s="14"/>
      <c r="W171" s="14"/>
      <c r="X171" s="14"/>
      <c r="Y171" s="13"/>
      <c r="Z171" s="44"/>
      <c r="AA171" s="43"/>
      <c r="AB171" s="13"/>
      <c r="AC171" s="13"/>
      <c r="AD171" s="13"/>
      <c r="AE171" s="13"/>
      <c r="AF171" s="13"/>
      <c r="AG171" s="13"/>
      <c r="AH171" s="13"/>
      <c r="AI171" s="13"/>
      <c r="AJ171" s="13"/>
      <c r="AK171" s="44"/>
    </row>
    <row r="172" spans="1:38" ht="12.75" customHeight="1">
      <c r="A172" s="41">
        <v>325</v>
      </c>
      <c r="B172" s="10">
        <v>1102</v>
      </c>
      <c r="C172" s="10" t="s">
        <v>527</v>
      </c>
      <c r="D172" s="16">
        <v>576.04</v>
      </c>
      <c r="E172" s="20" t="s">
        <v>528</v>
      </c>
      <c r="F172" s="20" t="s">
        <v>529</v>
      </c>
      <c r="G172" s="12">
        <v>1</v>
      </c>
      <c r="H172" s="12">
        <v>1</v>
      </c>
      <c r="I172" s="16">
        <f>ROUND(G172,0)</f>
        <v>1</v>
      </c>
      <c r="J172" s="16">
        <f>ROUND(H172,0)</f>
        <v>1</v>
      </c>
      <c r="K172" s="18" t="str">
        <f>IF(I172=J172,"TAM",(CONCATENATE(G172,"/",H172)))</f>
        <v>TAM</v>
      </c>
      <c r="L172" s="29">
        <f>576.04*1/1</f>
        <v>576.04</v>
      </c>
      <c r="M172" s="30">
        <v>0</v>
      </c>
      <c r="N172" s="16" t="str">
        <f>IF(M172=0,"0",(O172*M172))</f>
        <v>0</v>
      </c>
      <c r="O172" s="16">
        <f>IF(W172=1,L172,((D172*G172/H172)-P172)/(1-V172)-S172-T172)</f>
        <v>576.04</v>
      </c>
      <c r="P172" s="16">
        <v>0</v>
      </c>
      <c r="Q172" s="16">
        <f>IF(U172=0,"0",O172*U172)</f>
        <v>192.83079076481192</v>
      </c>
      <c r="R172" s="17">
        <f>IF(U172=0,(((D172*G172/H172)-P172-S172-T172)/(1-V172)),(((D172*G172/H172)-P172-S172-T172)/(1-V172))-((D172*G172/H172)-P172-S172-T172)*U172/(1-V172))</f>
        <v>383.20920923518804</v>
      </c>
      <c r="S172" s="12">
        <v>0</v>
      </c>
      <c r="T172" s="12">
        <v>0</v>
      </c>
      <c r="U172" s="12">
        <v>0.334752431714485</v>
      </c>
      <c r="V172" s="12">
        <v>0</v>
      </c>
      <c r="W172" s="28">
        <f>IF(V172&gt;U172,1,V172)</f>
        <v>0</v>
      </c>
      <c r="X172" s="12">
        <v>1</v>
      </c>
      <c r="Y172" s="16">
        <v>0</v>
      </c>
      <c r="Z172" s="42" t="str">
        <f>IF(OR(W172=1,W172=0),"0",(Q172-N172))</f>
        <v>0</v>
      </c>
      <c r="AA172" s="53" t="s">
        <v>530</v>
      </c>
      <c r="AB172" s="16" t="s">
        <v>532</v>
      </c>
      <c r="AC172" s="16">
        <v>46.93</v>
      </c>
      <c r="AD172" s="16">
        <v>405.11</v>
      </c>
      <c r="AE172" s="16">
        <f>ROUND(AC172*100,0)</f>
        <v>4693</v>
      </c>
      <c r="AF172" s="16">
        <f>ROUND(AD172*100,0)</f>
        <v>40511</v>
      </c>
      <c r="AG172" s="19" t="str">
        <f>IF(AC172=AD172,"TAM",(CONCATENATE(AE172,"/",AF172)))</f>
        <v>4693/40511</v>
      </c>
      <c r="AH172" s="11" t="s">
        <v>50</v>
      </c>
      <c r="AI172" s="21" t="s">
        <v>50</v>
      </c>
      <c r="AJ172" s="21" t="s">
        <v>531</v>
      </c>
      <c r="AK172" s="54" t="s">
        <v>50</v>
      </c>
      <c r="AL172" s="1" t="s">
        <v>50</v>
      </c>
    </row>
    <row r="173" spans="1:37" ht="12.75" customHeight="1">
      <c r="A173" s="43"/>
      <c r="B173" s="13"/>
      <c r="C173" s="13"/>
      <c r="D173" s="31"/>
      <c r="E173" s="14" t="s">
        <v>50</v>
      </c>
      <c r="F173" s="14"/>
      <c r="G173" s="14"/>
      <c r="H173" s="14"/>
      <c r="I173" s="31"/>
      <c r="J173" s="31"/>
      <c r="K173" s="15"/>
      <c r="L173" s="15"/>
      <c r="M173" s="15"/>
      <c r="N173" s="15"/>
      <c r="O173" s="15"/>
      <c r="P173" s="14"/>
      <c r="Q173" s="14"/>
      <c r="R173" s="14"/>
      <c r="S173" s="14"/>
      <c r="T173" s="14"/>
      <c r="U173" s="14"/>
      <c r="V173" s="14"/>
      <c r="W173" s="14"/>
      <c r="X173" s="14"/>
      <c r="Y173" s="13"/>
      <c r="Z173" s="44"/>
      <c r="AA173" s="43"/>
      <c r="AB173" s="13"/>
      <c r="AC173" s="13"/>
      <c r="AD173" s="13"/>
      <c r="AE173" s="13"/>
      <c r="AF173" s="13"/>
      <c r="AG173" s="13"/>
      <c r="AH173" s="13"/>
      <c r="AI173" s="13"/>
      <c r="AJ173" s="13"/>
      <c r="AK173" s="44"/>
    </row>
    <row r="174" spans="1:38" ht="12.75" customHeight="1">
      <c r="A174" s="41">
        <v>405</v>
      </c>
      <c r="B174" s="10">
        <v>1124</v>
      </c>
      <c r="C174" s="10" t="s">
        <v>533</v>
      </c>
      <c r="D174" s="16">
        <v>538.42</v>
      </c>
      <c r="E174" s="20" t="s">
        <v>534</v>
      </c>
      <c r="F174" s="20" t="s">
        <v>535</v>
      </c>
      <c r="G174" s="12">
        <v>1</v>
      </c>
      <c r="H174" s="12">
        <v>1</v>
      </c>
      <c r="I174" s="16">
        <f>ROUND(G174,0)</f>
        <v>1</v>
      </c>
      <c r="J174" s="16">
        <f>ROUND(H174,0)</f>
        <v>1</v>
      </c>
      <c r="K174" s="18" t="str">
        <f>IF(I174=J174,"TAM",(CONCATENATE(G174,"/",H174)))</f>
        <v>TAM</v>
      </c>
      <c r="L174" s="29">
        <f>538.42*1/1</f>
        <v>538.42</v>
      </c>
      <c r="M174" s="30">
        <v>0</v>
      </c>
      <c r="N174" s="16" t="str">
        <f>IF(M174=0,"0",(O174*M174))</f>
        <v>0</v>
      </c>
      <c r="O174" s="16">
        <f>IF(W174=1,L174,((D174*G174/H174)-P174)/(1-V174)-S174-T174)</f>
        <v>538.42</v>
      </c>
      <c r="P174" s="16">
        <v>0</v>
      </c>
      <c r="Q174" s="16">
        <f>IF(U174=0,"0",O174*U174)</f>
        <v>180.237404283713</v>
      </c>
      <c r="R174" s="17">
        <f>IF(U174=0,(((D174*G174/H174)-P174-S174-T174)/(1-V174)),(((D174*G174/H174)-P174-S174-T174)/(1-V174))-((D174*G174/H174)-P174-S174-T174)*U174/(1-V174))</f>
        <v>358.182595716287</v>
      </c>
      <c r="S174" s="12">
        <v>0</v>
      </c>
      <c r="T174" s="12">
        <v>0</v>
      </c>
      <c r="U174" s="12">
        <v>0.334752431714485</v>
      </c>
      <c r="V174" s="12">
        <v>0</v>
      </c>
      <c r="W174" s="28">
        <f>IF(V174&gt;U174,1,V174)</f>
        <v>0</v>
      </c>
      <c r="X174" s="12">
        <v>1</v>
      </c>
      <c r="Y174" s="16">
        <v>0</v>
      </c>
      <c r="Z174" s="42" t="str">
        <f>IF(OR(W174=1,W174=0),"0",(Q174-N174))</f>
        <v>0</v>
      </c>
      <c r="AA174" s="53" t="s">
        <v>536</v>
      </c>
      <c r="AB174" s="16" t="s">
        <v>538</v>
      </c>
      <c r="AC174" s="16">
        <v>358.18</v>
      </c>
      <c r="AD174" s="16">
        <v>405.11</v>
      </c>
      <c r="AE174" s="16">
        <f>ROUND(AC174*100,0)</f>
        <v>35818</v>
      </c>
      <c r="AF174" s="16">
        <f>ROUND(AD174*100,0)</f>
        <v>40511</v>
      </c>
      <c r="AG174" s="19" t="str">
        <f>IF(AC174=AD174,"TAM",(CONCATENATE(AE174,"/",AF174)))</f>
        <v>35818/40511</v>
      </c>
      <c r="AH174" s="11" t="s">
        <v>50</v>
      </c>
      <c r="AI174" s="21" t="s">
        <v>50</v>
      </c>
      <c r="AJ174" s="21" t="s">
        <v>537</v>
      </c>
      <c r="AK174" s="54" t="s">
        <v>50</v>
      </c>
      <c r="AL174" s="1" t="s">
        <v>50</v>
      </c>
    </row>
    <row r="175" spans="1:37" ht="12.75" customHeight="1">
      <c r="A175" s="43"/>
      <c r="B175" s="13"/>
      <c r="C175" s="13"/>
      <c r="D175" s="31"/>
      <c r="E175" s="14" t="s">
        <v>50</v>
      </c>
      <c r="F175" s="14"/>
      <c r="G175" s="14"/>
      <c r="H175" s="14"/>
      <c r="I175" s="31"/>
      <c r="J175" s="31"/>
      <c r="K175" s="15"/>
      <c r="L175" s="15"/>
      <c r="M175" s="15"/>
      <c r="N175" s="15"/>
      <c r="O175" s="15"/>
      <c r="P175" s="14"/>
      <c r="Q175" s="14"/>
      <c r="R175" s="14"/>
      <c r="S175" s="14"/>
      <c r="T175" s="14"/>
      <c r="U175" s="14"/>
      <c r="V175" s="14"/>
      <c r="W175" s="14"/>
      <c r="X175" s="14"/>
      <c r="Y175" s="13"/>
      <c r="Z175" s="44"/>
      <c r="AA175" s="43"/>
      <c r="AB175" s="13"/>
      <c r="AC175" s="13"/>
      <c r="AD175" s="13"/>
      <c r="AE175" s="13"/>
      <c r="AF175" s="13"/>
      <c r="AG175" s="13"/>
      <c r="AH175" s="13"/>
      <c r="AI175" s="13"/>
      <c r="AJ175" s="13"/>
      <c r="AK175" s="44"/>
    </row>
    <row r="176" spans="1:38" ht="12.75" customHeight="1">
      <c r="A176" s="41">
        <v>324</v>
      </c>
      <c r="B176" s="10">
        <v>1101</v>
      </c>
      <c r="C176" s="10" t="s">
        <v>539</v>
      </c>
      <c r="D176" s="16">
        <v>332.18</v>
      </c>
      <c r="E176" s="20" t="s">
        <v>540</v>
      </c>
      <c r="F176" s="20" t="s">
        <v>541</v>
      </c>
      <c r="G176" s="12">
        <v>1</v>
      </c>
      <c r="H176" s="12">
        <v>1</v>
      </c>
      <c r="I176" s="16">
        <f>ROUND(G176,0)</f>
        <v>1</v>
      </c>
      <c r="J176" s="16">
        <f>ROUND(H176,0)</f>
        <v>1</v>
      </c>
      <c r="K176" s="18" t="str">
        <f>IF(I176=J176,"TAM",(CONCATENATE(G176,"/",H176)))</f>
        <v>TAM</v>
      </c>
      <c r="L176" s="29">
        <f>332.18*1/1</f>
        <v>332.18</v>
      </c>
      <c r="M176" s="30">
        <v>0</v>
      </c>
      <c r="N176" s="16" t="str">
        <f>IF(M176=0,"0",(O176*M176))</f>
        <v>0</v>
      </c>
      <c r="O176" s="16">
        <f>IF(W176=1,L176,((D176*G176/H176)-P176)/(1-V176)-S176-T176)</f>
        <v>332.18</v>
      </c>
      <c r="P176" s="16">
        <v>0</v>
      </c>
      <c r="Q176" s="16">
        <f>IF(U176=0,"0",O176*U176)</f>
        <v>111.19806276691763</v>
      </c>
      <c r="R176" s="17">
        <f>IF(U176=0,(((D176*G176/H176)-P176-S176-T176)/(1-V176)),(((D176*G176/H176)-P176-S176-T176)/(1-V176))-((D176*G176/H176)-P176-S176-T176)*U176/(1-V176))</f>
        <v>220.98193723308236</v>
      </c>
      <c r="S176" s="12">
        <v>0</v>
      </c>
      <c r="T176" s="12">
        <v>0</v>
      </c>
      <c r="U176" s="12">
        <v>0.334752431714485</v>
      </c>
      <c r="V176" s="12">
        <v>0</v>
      </c>
      <c r="W176" s="28">
        <f>IF(V176&gt;U176,1,V176)</f>
        <v>0</v>
      </c>
      <c r="X176" s="12">
        <v>1</v>
      </c>
      <c r="Y176" s="16">
        <v>0</v>
      </c>
      <c r="Z176" s="42" t="str">
        <f>IF(OR(W176=1,W176=0),"0",(Q176-N176))</f>
        <v>0</v>
      </c>
      <c r="AA176" s="53" t="s">
        <v>542</v>
      </c>
      <c r="AB176" s="16" t="s">
        <v>544</v>
      </c>
      <c r="AC176" s="16">
        <v>100.33</v>
      </c>
      <c r="AD176" s="16">
        <v>468.46</v>
      </c>
      <c r="AE176" s="16">
        <f>ROUND(AC176*100,0)</f>
        <v>10033</v>
      </c>
      <c r="AF176" s="16">
        <f>ROUND(AD176*100,0)</f>
        <v>46846</v>
      </c>
      <c r="AG176" s="19" t="str">
        <f>IF(AC176=AD176,"TAM",(CONCATENATE(AE176,"/",AF176)))</f>
        <v>10033/46846</v>
      </c>
      <c r="AH176" s="11" t="s">
        <v>50</v>
      </c>
      <c r="AI176" s="21" t="s">
        <v>50</v>
      </c>
      <c r="AJ176" s="21" t="s">
        <v>543</v>
      </c>
      <c r="AK176" s="54" t="s">
        <v>50</v>
      </c>
      <c r="AL176" s="1" t="s">
        <v>50</v>
      </c>
    </row>
    <row r="177" spans="1:37" ht="12.75" customHeight="1">
      <c r="A177" s="43"/>
      <c r="B177" s="13"/>
      <c r="C177" s="13"/>
      <c r="D177" s="31"/>
      <c r="E177" s="14" t="s">
        <v>50</v>
      </c>
      <c r="F177" s="14"/>
      <c r="G177" s="14"/>
      <c r="H177" s="14"/>
      <c r="I177" s="31"/>
      <c r="J177" s="31"/>
      <c r="K177" s="15"/>
      <c r="L177" s="15"/>
      <c r="M177" s="15"/>
      <c r="N177" s="15"/>
      <c r="O177" s="15"/>
      <c r="P177" s="14"/>
      <c r="Q177" s="14"/>
      <c r="R177" s="14"/>
      <c r="S177" s="14"/>
      <c r="T177" s="14"/>
      <c r="U177" s="14"/>
      <c r="V177" s="14"/>
      <c r="W177" s="14"/>
      <c r="X177" s="14"/>
      <c r="Y177" s="13"/>
      <c r="Z177" s="44"/>
      <c r="AA177" s="43"/>
      <c r="AB177" s="13"/>
      <c r="AC177" s="13"/>
      <c r="AD177" s="13"/>
      <c r="AE177" s="13"/>
      <c r="AF177" s="13"/>
      <c r="AG177" s="13"/>
      <c r="AH177" s="13"/>
      <c r="AI177" s="13"/>
      <c r="AJ177" s="13"/>
      <c r="AK177" s="44"/>
    </row>
    <row r="178" spans="1:38" ht="12.75" customHeight="1">
      <c r="A178" s="41">
        <v>427</v>
      </c>
      <c r="B178" s="10">
        <v>1122</v>
      </c>
      <c r="C178" s="10" t="s">
        <v>545</v>
      </c>
      <c r="D178" s="16">
        <v>553.38</v>
      </c>
      <c r="E178" s="20" t="s">
        <v>546</v>
      </c>
      <c r="F178" s="20" t="s">
        <v>547</v>
      </c>
      <c r="G178" s="12">
        <v>3</v>
      </c>
      <c r="H178" s="12">
        <v>32</v>
      </c>
      <c r="I178" s="16">
        <f>ROUND(G178,0)</f>
        <v>3</v>
      </c>
      <c r="J178" s="16">
        <f>ROUND(H178,0)</f>
        <v>32</v>
      </c>
      <c r="K178" s="18" t="str">
        <f>IF(I178=J178,"TAM",(CONCATENATE(G178,"/",H178)))</f>
        <v>3/32</v>
      </c>
      <c r="L178" s="29">
        <f>553.38*3/32</f>
        <v>51.879374999999996</v>
      </c>
      <c r="M178" s="30">
        <v>0</v>
      </c>
      <c r="N178" s="16" t="str">
        <f>IF(M178=0,"0",(O178*M178))</f>
        <v>0</v>
      </c>
      <c r="O178" s="16">
        <f>IF(W178=1,L178,((D178*G178/H178)-P178)/(1-V178)-S178-T178)</f>
        <v>51.879374999999996</v>
      </c>
      <c r="P178" s="16">
        <v>0</v>
      </c>
      <c r="Q178" s="16">
        <f>IF(U178=0,"0",O178*U178)</f>
        <v>17.366746937077657</v>
      </c>
      <c r="R178" s="17">
        <f>IF(U178=0,(((D178*G178/H178)-P178-S178-T178)/(1-V178)),(((D178*G178/H178)-P178-S178-T178)/(1-V178))-((D178*G178/H178)-P178-S178-T178)*U178/(1-V178))</f>
        <v>34.51262806292234</v>
      </c>
      <c r="S178" s="12">
        <v>0</v>
      </c>
      <c r="T178" s="12">
        <v>0</v>
      </c>
      <c r="U178" s="12">
        <v>0.334752431714485</v>
      </c>
      <c r="V178" s="12">
        <v>0</v>
      </c>
      <c r="W178" s="28">
        <f>IF(V178&gt;U178,1,V178)</f>
        <v>0</v>
      </c>
      <c r="X178" s="12">
        <v>1</v>
      </c>
      <c r="Y178" s="16">
        <v>0</v>
      </c>
      <c r="Z178" s="42" t="str">
        <f>IF(OR(W178=1,W178=0),"0",(Q178-N178))</f>
        <v>0</v>
      </c>
      <c r="AA178" s="53" t="s">
        <v>548</v>
      </c>
      <c r="AB178" s="16" t="s">
        <v>550</v>
      </c>
      <c r="AC178" s="16">
        <v>34.51</v>
      </c>
      <c r="AD178" s="16">
        <v>468.46</v>
      </c>
      <c r="AE178" s="16">
        <f>ROUND(AC178*100,0)</f>
        <v>3451</v>
      </c>
      <c r="AF178" s="16">
        <f>ROUND(AD178*100,0)</f>
        <v>46846</v>
      </c>
      <c r="AG178" s="19" t="str">
        <f>IF(AC178=AD178,"TAM",(CONCATENATE(AE178,"/",AF178)))</f>
        <v>3451/46846</v>
      </c>
      <c r="AH178" s="11" t="s">
        <v>50</v>
      </c>
      <c r="AI178" s="21" t="s">
        <v>50</v>
      </c>
      <c r="AJ178" s="21" t="s">
        <v>549</v>
      </c>
      <c r="AK178" s="54" t="s">
        <v>50</v>
      </c>
      <c r="AL178" s="1" t="s">
        <v>50</v>
      </c>
    </row>
    <row r="179" spans="1:37" ht="12.75" customHeight="1">
      <c r="A179" s="43"/>
      <c r="B179" s="13"/>
      <c r="C179" s="13"/>
      <c r="D179" s="31"/>
      <c r="E179" s="14" t="s">
        <v>50</v>
      </c>
      <c r="F179" s="14"/>
      <c r="G179" s="14"/>
      <c r="H179" s="14"/>
      <c r="I179" s="31"/>
      <c r="J179" s="31"/>
      <c r="K179" s="15"/>
      <c r="L179" s="15"/>
      <c r="M179" s="15"/>
      <c r="N179" s="15"/>
      <c r="O179" s="15"/>
      <c r="P179" s="14"/>
      <c r="Q179" s="14"/>
      <c r="R179" s="14"/>
      <c r="S179" s="14"/>
      <c r="T179" s="14"/>
      <c r="U179" s="14"/>
      <c r="V179" s="14"/>
      <c r="W179" s="14"/>
      <c r="X179" s="14"/>
      <c r="Y179" s="13"/>
      <c r="Z179" s="44"/>
      <c r="AA179" s="43"/>
      <c r="AB179" s="13"/>
      <c r="AC179" s="13"/>
      <c r="AD179" s="13"/>
      <c r="AE179" s="13"/>
      <c r="AF179" s="13"/>
      <c r="AG179" s="13"/>
      <c r="AH179" s="13"/>
      <c r="AI179" s="13"/>
      <c r="AJ179" s="13"/>
      <c r="AK179" s="44"/>
    </row>
    <row r="180" spans="1:38" ht="12.75" customHeight="1">
      <c r="A180" s="41">
        <v>432</v>
      </c>
      <c r="B180" s="10">
        <v>1122</v>
      </c>
      <c r="C180" s="10" t="s">
        <v>551</v>
      </c>
      <c r="D180" s="16">
        <v>553.38</v>
      </c>
      <c r="E180" s="20" t="s">
        <v>552</v>
      </c>
      <c r="F180" s="20" t="s">
        <v>553</v>
      </c>
      <c r="G180" s="12">
        <v>1</v>
      </c>
      <c r="H180" s="12">
        <v>4</v>
      </c>
      <c r="I180" s="16">
        <f>ROUND(G180,0)</f>
        <v>1</v>
      </c>
      <c r="J180" s="16">
        <f>ROUND(H180,0)</f>
        <v>4</v>
      </c>
      <c r="K180" s="18" t="str">
        <f>IF(I180=J180,"TAM",(CONCATENATE(G180,"/",H180)))</f>
        <v>1/4</v>
      </c>
      <c r="L180" s="29">
        <f>553.38*1/4</f>
        <v>138.345</v>
      </c>
      <c r="M180" s="30">
        <v>0</v>
      </c>
      <c r="N180" s="16" t="str">
        <f>IF(M180=0,"0",(O180*M180))</f>
        <v>0</v>
      </c>
      <c r="O180" s="16">
        <f>IF(W180=1,L180,((D180*G180/H180)-P180)/(1-V180)-S180-T180)</f>
        <v>138.345</v>
      </c>
      <c r="P180" s="16">
        <v>0</v>
      </c>
      <c r="Q180" s="16">
        <f>IF(U180=0,"0",O180*U180)</f>
        <v>46.311325165540424</v>
      </c>
      <c r="R180" s="17">
        <f>IF(U180=0,(((D180*G180/H180)-P180-S180-T180)/(1-V180)),(((D180*G180/H180)-P180-S180-T180)/(1-V180))-((D180*G180/H180)-P180-S180-T180)*U180/(1-V180))</f>
        <v>92.03367483445957</v>
      </c>
      <c r="S180" s="12">
        <v>0</v>
      </c>
      <c r="T180" s="12">
        <v>0</v>
      </c>
      <c r="U180" s="12">
        <v>0.334752431714485</v>
      </c>
      <c r="V180" s="12">
        <v>0</v>
      </c>
      <c r="W180" s="28">
        <f>IF(V180&gt;U180,1,V180)</f>
        <v>0</v>
      </c>
      <c r="X180" s="12">
        <v>1</v>
      </c>
      <c r="Y180" s="16">
        <v>0</v>
      </c>
      <c r="Z180" s="42" t="str">
        <f>IF(OR(W180=1,W180=0),"0",(Q180-N180))</f>
        <v>0</v>
      </c>
      <c r="AA180" s="53" t="s">
        <v>554</v>
      </c>
      <c r="AB180" s="16" t="s">
        <v>556</v>
      </c>
      <c r="AC180" s="16">
        <v>92.04</v>
      </c>
      <c r="AD180" s="16">
        <v>468.46</v>
      </c>
      <c r="AE180" s="16">
        <f>ROUND(AC180*100,0)</f>
        <v>9204</v>
      </c>
      <c r="AF180" s="16">
        <f>ROUND(AD180*100,0)</f>
        <v>46846</v>
      </c>
      <c r="AG180" s="19" t="str">
        <f>IF(AC180=AD180,"TAM",(CONCATENATE(AE180,"/",AF180)))</f>
        <v>9204/46846</v>
      </c>
      <c r="AH180" s="11" t="s">
        <v>50</v>
      </c>
      <c r="AI180" s="21" t="s">
        <v>50</v>
      </c>
      <c r="AJ180" s="21" t="s">
        <v>555</v>
      </c>
      <c r="AK180" s="54" t="s">
        <v>50</v>
      </c>
      <c r="AL180" s="1" t="s">
        <v>50</v>
      </c>
    </row>
    <row r="181" spans="1:37" ht="12.75" customHeight="1">
      <c r="A181" s="43"/>
      <c r="B181" s="13"/>
      <c r="C181" s="13"/>
      <c r="D181" s="31"/>
      <c r="E181" s="14" t="s">
        <v>50</v>
      </c>
      <c r="F181" s="14"/>
      <c r="G181" s="14"/>
      <c r="H181" s="14"/>
      <c r="I181" s="31"/>
      <c r="J181" s="31"/>
      <c r="K181" s="15"/>
      <c r="L181" s="15"/>
      <c r="M181" s="15"/>
      <c r="N181" s="15"/>
      <c r="O181" s="15"/>
      <c r="P181" s="14"/>
      <c r="Q181" s="14"/>
      <c r="R181" s="14"/>
      <c r="S181" s="14"/>
      <c r="T181" s="14"/>
      <c r="U181" s="14"/>
      <c r="V181" s="14"/>
      <c r="W181" s="14"/>
      <c r="X181" s="14"/>
      <c r="Y181" s="13"/>
      <c r="Z181" s="44"/>
      <c r="AA181" s="43"/>
      <c r="AB181" s="13"/>
      <c r="AC181" s="13"/>
      <c r="AD181" s="13"/>
      <c r="AE181" s="13"/>
      <c r="AF181" s="13"/>
      <c r="AG181" s="13"/>
      <c r="AH181" s="13"/>
      <c r="AI181" s="13"/>
      <c r="AJ181" s="13"/>
      <c r="AK181" s="44"/>
    </row>
    <row r="182" spans="1:38" ht="12.75" customHeight="1">
      <c r="A182" s="41">
        <v>424</v>
      </c>
      <c r="B182" s="10">
        <v>1122</v>
      </c>
      <c r="C182" s="10" t="s">
        <v>557</v>
      </c>
      <c r="D182" s="16">
        <v>553.38</v>
      </c>
      <c r="E182" s="20" t="s">
        <v>558</v>
      </c>
      <c r="F182" s="20" t="s">
        <v>559</v>
      </c>
      <c r="G182" s="12">
        <v>3</v>
      </c>
      <c r="H182" s="12">
        <v>32</v>
      </c>
      <c r="I182" s="16">
        <f>ROUND(G182,0)</f>
        <v>3</v>
      </c>
      <c r="J182" s="16">
        <f>ROUND(H182,0)</f>
        <v>32</v>
      </c>
      <c r="K182" s="18" t="str">
        <f>IF(I182=J182,"TAM",(CONCATENATE(G182,"/",H182)))</f>
        <v>3/32</v>
      </c>
      <c r="L182" s="29">
        <f>553.38*3/32</f>
        <v>51.879374999999996</v>
      </c>
      <c r="M182" s="30">
        <v>0</v>
      </c>
      <c r="N182" s="16" t="str">
        <f>IF(M182=0,"0",(O182*M182))</f>
        <v>0</v>
      </c>
      <c r="O182" s="16">
        <f>IF(W182=1,L182,((D182*G182/H182)-P182)/(1-V182)-S182-T182)</f>
        <v>51.879374999999996</v>
      </c>
      <c r="P182" s="16">
        <v>0</v>
      </c>
      <c r="Q182" s="16">
        <f>IF(U182=0,"0",O182*U182)</f>
        <v>17.366746937077657</v>
      </c>
      <c r="R182" s="17">
        <f>IF(U182=0,(((D182*G182/H182)-P182-S182-T182)/(1-V182)),(((D182*G182/H182)-P182-S182-T182)/(1-V182))-((D182*G182/H182)-P182-S182-T182)*U182/(1-V182))</f>
        <v>34.51262806292234</v>
      </c>
      <c r="S182" s="12">
        <v>0</v>
      </c>
      <c r="T182" s="12">
        <v>0</v>
      </c>
      <c r="U182" s="12">
        <v>0.334752431714485</v>
      </c>
      <c r="V182" s="12">
        <v>0</v>
      </c>
      <c r="W182" s="28">
        <f>IF(V182&gt;U182,1,V182)</f>
        <v>0</v>
      </c>
      <c r="X182" s="12">
        <v>1</v>
      </c>
      <c r="Y182" s="16">
        <v>0</v>
      </c>
      <c r="Z182" s="42" t="str">
        <f>IF(OR(W182=1,W182=0),"0",(Q182-N182))</f>
        <v>0</v>
      </c>
      <c r="AA182" s="53" t="s">
        <v>560</v>
      </c>
      <c r="AB182" s="16" t="s">
        <v>562</v>
      </c>
      <c r="AC182" s="16">
        <v>34.51</v>
      </c>
      <c r="AD182" s="16">
        <v>468.46</v>
      </c>
      <c r="AE182" s="16">
        <f>ROUND(AC182*100,0)</f>
        <v>3451</v>
      </c>
      <c r="AF182" s="16">
        <f>ROUND(AD182*100,0)</f>
        <v>46846</v>
      </c>
      <c r="AG182" s="19" t="str">
        <f>IF(AC182=AD182,"TAM",(CONCATENATE(AE182,"/",AF182)))</f>
        <v>3451/46846</v>
      </c>
      <c r="AH182" s="11" t="s">
        <v>50</v>
      </c>
      <c r="AI182" s="21" t="s">
        <v>50</v>
      </c>
      <c r="AJ182" s="21" t="s">
        <v>561</v>
      </c>
      <c r="AK182" s="54" t="s">
        <v>50</v>
      </c>
      <c r="AL182" s="1" t="s">
        <v>50</v>
      </c>
    </row>
    <row r="183" spans="1:37" ht="12.75" customHeight="1">
      <c r="A183" s="43"/>
      <c r="B183" s="13"/>
      <c r="C183" s="13"/>
      <c r="D183" s="31"/>
      <c r="E183" s="14" t="s">
        <v>50</v>
      </c>
      <c r="F183" s="14"/>
      <c r="G183" s="14"/>
      <c r="H183" s="14"/>
      <c r="I183" s="31"/>
      <c r="J183" s="31"/>
      <c r="K183" s="15"/>
      <c r="L183" s="15"/>
      <c r="M183" s="15"/>
      <c r="N183" s="15"/>
      <c r="O183" s="15"/>
      <c r="P183" s="14"/>
      <c r="Q183" s="14"/>
      <c r="R183" s="14"/>
      <c r="S183" s="14"/>
      <c r="T183" s="14"/>
      <c r="U183" s="14"/>
      <c r="V183" s="14"/>
      <c r="W183" s="14"/>
      <c r="X183" s="14"/>
      <c r="Y183" s="13"/>
      <c r="Z183" s="44"/>
      <c r="AA183" s="43"/>
      <c r="AB183" s="13"/>
      <c r="AC183" s="13"/>
      <c r="AD183" s="13"/>
      <c r="AE183" s="13"/>
      <c r="AF183" s="13"/>
      <c r="AG183" s="13"/>
      <c r="AH183" s="13"/>
      <c r="AI183" s="13"/>
      <c r="AJ183" s="13"/>
      <c r="AK183" s="44"/>
    </row>
    <row r="184" spans="1:38" ht="12.75" customHeight="1">
      <c r="A184" s="41">
        <v>425</v>
      </c>
      <c r="B184" s="10">
        <v>1122</v>
      </c>
      <c r="C184" s="10" t="s">
        <v>563</v>
      </c>
      <c r="D184" s="16">
        <v>553.38</v>
      </c>
      <c r="E184" s="20" t="s">
        <v>564</v>
      </c>
      <c r="F184" s="20" t="s">
        <v>565</v>
      </c>
      <c r="G184" s="12">
        <v>3</v>
      </c>
      <c r="H184" s="12">
        <v>32</v>
      </c>
      <c r="I184" s="16">
        <f>ROUND(G184,0)</f>
        <v>3</v>
      </c>
      <c r="J184" s="16">
        <f>ROUND(H184,0)</f>
        <v>32</v>
      </c>
      <c r="K184" s="18" t="str">
        <f>IF(I184=J184,"TAM",(CONCATENATE(G184,"/",H184)))</f>
        <v>3/32</v>
      </c>
      <c r="L184" s="29">
        <f>553.38*3/32</f>
        <v>51.879374999999996</v>
      </c>
      <c r="M184" s="30">
        <v>0</v>
      </c>
      <c r="N184" s="16" t="str">
        <f>IF(M184=0,"0",(O184*M184))</f>
        <v>0</v>
      </c>
      <c r="O184" s="16">
        <f>IF(W184=1,L184,((D184*G184/H184)-P184)/(1-V184)-S184-T184)</f>
        <v>51.879374999999996</v>
      </c>
      <c r="P184" s="16">
        <v>0</v>
      </c>
      <c r="Q184" s="16">
        <f>IF(U184=0,"0",O184*U184)</f>
        <v>17.366746937077657</v>
      </c>
      <c r="R184" s="17">
        <f>IF(U184=0,(((D184*G184/H184)-P184-S184-T184)/(1-V184)),(((D184*G184/H184)-P184-S184-T184)/(1-V184))-((D184*G184/H184)-P184-S184-T184)*U184/(1-V184))</f>
        <v>34.51262806292234</v>
      </c>
      <c r="S184" s="12">
        <v>0</v>
      </c>
      <c r="T184" s="12">
        <v>0</v>
      </c>
      <c r="U184" s="12">
        <v>0.334752431714485</v>
      </c>
      <c r="V184" s="12">
        <v>0</v>
      </c>
      <c r="W184" s="28">
        <f>IF(V184&gt;U184,1,V184)</f>
        <v>0</v>
      </c>
      <c r="X184" s="12">
        <v>1</v>
      </c>
      <c r="Y184" s="16">
        <v>0</v>
      </c>
      <c r="Z184" s="42" t="str">
        <f>IF(OR(W184=1,W184=0),"0",(Q184-N184))</f>
        <v>0</v>
      </c>
      <c r="AA184" s="53" t="s">
        <v>566</v>
      </c>
      <c r="AB184" s="16" t="s">
        <v>568</v>
      </c>
      <c r="AC184" s="16">
        <v>34.51</v>
      </c>
      <c r="AD184" s="16">
        <v>468.46</v>
      </c>
      <c r="AE184" s="16">
        <f>ROUND(AC184*100,0)</f>
        <v>3451</v>
      </c>
      <c r="AF184" s="16">
        <f>ROUND(AD184*100,0)</f>
        <v>46846</v>
      </c>
      <c r="AG184" s="19" t="str">
        <f>IF(AC184=AD184,"TAM",(CONCATENATE(AE184,"/",AF184)))</f>
        <v>3451/46846</v>
      </c>
      <c r="AH184" s="11" t="s">
        <v>50</v>
      </c>
      <c r="AI184" s="21" t="s">
        <v>50</v>
      </c>
      <c r="AJ184" s="21" t="s">
        <v>567</v>
      </c>
      <c r="AK184" s="54" t="s">
        <v>50</v>
      </c>
      <c r="AL184" s="1" t="s">
        <v>50</v>
      </c>
    </row>
    <row r="185" spans="1:37" ht="12.75" customHeight="1">
      <c r="A185" s="43"/>
      <c r="B185" s="13"/>
      <c r="C185" s="13"/>
      <c r="D185" s="31"/>
      <c r="E185" s="14" t="s">
        <v>50</v>
      </c>
      <c r="F185" s="14"/>
      <c r="G185" s="14"/>
      <c r="H185" s="14"/>
      <c r="I185" s="31"/>
      <c r="J185" s="31"/>
      <c r="K185" s="15"/>
      <c r="L185" s="15"/>
      <c r="M185" s="15"/>
      <c r="N185" s="15"/>
      <c r="O185" s="15"/>
      <c r="P185" s="14"/>
      <c r="Q185" s="14"/>
      <c r="R185" s="14"/>
      <c r="S185" s="14"/>
      <c r="T185" s="14"/>
      <c r="U185" s="14"/>
      <c r="V185" s="14"/>
      <c r="W185" s="14"/>
      <c r="X185" s="14"/>
      <c r="Y185" s="13"/>
      <c r="Z185" s="44"/>
      <c r="AA185" s="43"/>
      <c r="AB185" s="13"/>
      <c r="AC185" s="13"/>
      <c r="AD185" s="13"/>
      <c r="AE185" s="13"/>
      <c r="AF185" s="13"/>
      <c r="AG185" s="13"/>
      <c r="AH185" s="13"/>
      <c r="AI185" s="13"/>
      <c r="AJ185" s="13"/>
      <c r="AK185" s="44"/>
    </row>
    <row r="186" spans="1:38" ht="12.75" customHeight="1">
      <c r="A186" s="41">
        <v>428</v>
      </c>
      <c r="B186" s="10">
        <v>1122</v>
      </c>
      <c r="C186" s="10" t="s">
        <v>569</v>
      </c>
      <c r="D186" s="16">
        <v>553.38</v>
      </c>
      <c r="E186" s="20" t="s">
        <v>570</v>
      </c>
      <c r="F186" s="20" t="s">
        <v>571</v>
      </c>
      <c r="G186" s="12">
        <v>1</v>
      </c>
      <c r="H186" s="12">
        <v>8</v>
      </c>
      <c r="I186" s="16">
        <f>ROUND(G186,0)</f>
        <v>1</v>
      </c>
      <c r="J186" s="16">
        <f>ROUND(H186,0)</f>
        <v>8</v>
      </c>
      <c r="K186" s="18" t="str">
        <f>IF(I186=J186,"TAM",(CONCATENATE(G186,"/",H186)))</f>
        <v>1/8</v>
      </c>
      <c r="L186" s="29">
        <f>553.38*1/8</f>
        <v>69.1725</v>
      </c>
      <c r="M186" s="30">
        <v>0</v>
      </c>
      <c r="N186" s="16" t="str">
        <f>IF(M186=0,"0",(O186*M186))</f>
        <v>0</v>
      </c>
      <c r="O186" s="16">
        <f>IF(W186=1,L186,((D186*G186/H186)-P186)/(1-V186)-S186-T186)</f>
        <v>69.1725</v>
      </c>
      <c r="P186" s="16">
        <v>0</v>
      </c>
      <c r="Q186" s="16">
        <f>IF(U186=0,"0",O186*U186)</f>
        <v>23.155662582770212</v>
      </c>
      <c r="R186" s="17">
        <f>IF(U186=0,(((D186*G186/H186)-P186-S186-T186)/(1-V186)),(((D186*G186/H186)-P186-S186-T186)/(1-V186))-((D186*G186/H186)-P186-S186-T186)*U186/(1-V186))</f>
        <v>46.01683741722979</v>
      </c>
      <c r="S186" s="12">
        <v>0</v>
      </c>
      <c r="T186" s="12">
        <v>0</v>
      </c>
      <c r="U186" s="12">
        <v>0.334752431714485</v>
      </c>
      <c r="V186" s="12">
        <v>0</v>
      </c>
      <c r="W186" s="28">
        <f>IF(V186&gt;U186,1,V186)</f>
        <v>0</v>
      </c>
      <c r="X186" s="12">
        <v>1</v>
      </c>
      <c r="Y186" s="16">
        <v>0</v>
      </c>
      <c r="Z186" s="42" t="str">
        <f>IF(OR(W186=1,W186=0),"0",(Q186-N186))</f>
        <v>0</v>
      </c>
      <c r="AA186" s="53" t="s">
        <v>573</v>
      </c>
      <c r="AB186" s="16" t="s">
        <v>575</v>
      </c>
      <c r="AC186" s="16">
        <v>46.01</v>
      </c>
      <c r="AD186" s="16">
        <v>468.46</v>
      </c>
      <c r="AE186" s="16">
        <f>ROUND(AC186*100,0)</f>
        <v>4601</v>
      </c>
      <c r="AF186" s="16">
        <f>ROUND(AD186*100,0)</f>
        <v>46846</v>
      </c>
      <c r="AG186" s="19" t="str">
        <f>IF(AC186=AD186,"TAM",(CONCATENATE(AE186,"/",AF186)))</f>
        <v>4601/46846</v>
      </c>
      <c r="AH186" s="11" t="s">
        <v>50</v>
      </c>
      <c r="AI186" s="21" t="s">
        <v>50</v>
      </c>
      <c r="AJ186" s="21" t="s">
        <v>574</v>
      </c>
      <c r="AK186" s="54" t="s">
        <v>50</v>
      </c>
      <c r="AL186" s="1" t="s">
        <v>50</v>
      </c>
    </row>
    <row r="187" spans="1:37" ht="31.5" customHeight="1">
      <c r="A187" s="43"/>
      <c r="B187" s="13"/>
      <c r="C187" s="13"/>
      <c r="D187" s="31"/>
      <c r="E187" s="34" t="s">
        <v>572</v>
      </c>
      <c r="F187" s="14"/>
      <c r="G187" s="14"/>
      <c r="H187" s="14"/>
      <c r="I187" s="31"/>
      <c r="J187" s="31"/>
      <c r="K187" s="15"/>
      <c r="L187" s="15"/>
      <c r="M187" s="15"/>
      <c r="N187" s="15"/>
      <c r="O187" s="15"/>
      <c r="P187" s="14"/>
      <c r="Q187" s="14"/>
      <c r="R187" s="14"/>
      <c r="S187" s="14"/>
      <c r="T187" s="14"/>
      <c r="U187" s="14"/>
      <c r="V187" s="14"/>
      <c r="W187" s="14"/>
      <c r="X187" s="14"/>
      <c r="Y187" s="13"/>
      <c r="Z187" s="44"/>
      <c r="AA187" s="43"/>
      <c r="AB187" s="13"/>
      <c r="AC187" s="13"/>
      <c r="AD187" s="13"/>
      <c r="AE187" s="13"/>
      <c r="AF187" s="13"/>
      <c r="AG187" s="13"/>
      <c r="AH187" s="13"/>
      <c r="AI187" s="13"/>
      <c r="AJ187" s="13"/>
      <c r="AK187" s="44"/>
    </row>
    <row r="188" spans="1:38" ht="12.75" customHeight="1">
      <c r="A188" s="41">
        <v>433</v>
      </c>
      <c r="B188" s="10">
        <v>1122</v>
      </c>
      <c r="C188" s="10" t="s">
        <v>576</v>
      </c>
      <c r="D188" s="16">
        <v>553.38</v>
      </c>
      <c r="E188" s="20" t="s">
        <v>577</v>
      </c>
      <c r="F188" s="20" t="s">
        <v>578</v>
      </c>
      <c r="G188" s="12">
        <v>1</v>
      </c>
      <c r="H188" s="12">
        <v>4</v>
      </c>
      <c r="I188" s="16">
        <f>ROUND(G188,0)</f>
        <v>1</v>
      </c>
      <c r="J188" s="16">
        <f>ROUND(H188,0)</f>
        <v>4</v>
      </c>
      <c r="K188" s="18" t="str">
        <f>IF(I188=J188,"TAM",(CONCATENATE(G188,"/",H188)))</f>
        <v>1/4</v>
      </c>
      <c r="L188" s="29">
        <f>553.38*1/4</f>
        <v>138.345</v>
      </c>
      <c r="M188" s="30">
        <v>0</v>
      </c>
      <c r="N188" s="16" t="str">
        <f>IF(M188=0,"0",(O188*M188))</f>
        <v>0</v>
      </c>
      <c r="O188" s="16">
        <f>IF(W188=1,L188,((D188*G188/H188)-P188)/(1-V188)-S188-T188)</f>
        <v>138.345</v>
      </c>
      <c r="P188" s="16">
        <v>0</v>
      </c>
      <c r="Q188" s="16">
        <f>IF(U188=0,"0",O188*U188)</f>
        <v>46.311325165540424</v>
      </c>
      <c r="R188" s="17">
        <f>IF(U188=0,(((D188*G188/H188)-P188-S188-T188)/(1-V188)),(((D188*G188/H188)-P188-S188-T188)/(1-V188))-((D188*G188/H188)-P188-S188-T188)*U188/(1-V188))</f>
        <v>92.03367483445957</v>
      </c>
      <c r="S188" s="12">
        <v>0</v>
      </c>
      <c r="T188" s="12">
        <v>0</v>
      </c>
      <c r="U188" s="12">
        <v>0.334752431714485</v>
      </c>
      <c r="V188" s="12">
        <v>0</v>
      </c>
      <c r="W188" s="28">
        <f>IF(V188&gt;U188,1,V188)</f>
        <v>0</v>
      </c>
      <c r="X188" s="12">
        <v>1</v>
      </c>
      <c r="Y188" s="16">
        <v>0</v>
      </c>
      <c r="Z188" s="42" t="str">
        <f>IF(OR(W188=1,W188=0),"0",(Q188-N188))</f>
        <v>0</v>
      </c>
      <c r="AA188" s="53" t="s">
        <v>579</v>
      </c>
      <c r="AB188" s="16" t="s">
        <v>581</v>
      </c>
      <c r="AC188" s="16">
        <v>92.04</v>
      </c>
      <c r="AD188" s="16">
        <v>468.46</v>
      </c>
      <c r="AE188" s="16">
        <f>ROUND(AC188*100,0)</f>
        <v>9204</v>
      </c>
      <c r="AF188" s="16">
        <f>ROUND(AD188*100,0)</f>
        <v>46846</v>
      </c>
      <c r="AG188" s="19" t="str">
        <f>IF(AC188=AD188,"TAM",(CONCATENATE(AE188,"/",AF188)))</f>
        <v>9204/46846</v>
      </c>
      <c r="AH188" s="11" t="s">
        <v>50</v>
      </c>
      <c r="AI188" s="21" t="s">
        <v>50</v>
      </c>
      <c r="AJ188" s="21" t="s">
        <v>580</v>
      </c>
      <c r="AK188" s="54" t="s">
        <v>50</v>
      </c>
      <c r="AL188" s="1" t="s">
        <v>50</v>
      </c>
    </row>
    <row r="189" spans="1:37" ht="12.75" customHeight="1">
      <c r="A189" s="43"/>
      <c r="B189" s="13"/>
      <c r="C189" s="13"/>
      <c r="D189" s="31"/>
      <c r="E189" s="14" t="s">
        <v>50</v>
      </c>
      <c r="F189" s="14"/>
      <c r="G189" s="14"/>
      <c r="H189" s="14"/>
      <c r="I189" s="31"/>
      <c r="J189" s="31"/>
      <c r="K189" s="15"/>
      <c r="L189" s="15"/>
      <c r="M189" s="15"/>
      <c r="N189" s="15"/>
      <c r="O189" s="15"/>
      <c r="P189" s="14"/>
      <c r="Q189" s="14"/>
      <c r="R189" s="14"/>
      <c r="S189" s="14"/>
      <c r="T189" s="14"/>
      <c r="U189" s="14"/>
      <c r="V189" s="14"/>
      <c r="W189" s="14"/>
      <c r="X189" s="14"/>
      <c r="Y189" s="13"/>
      <c r="Z189" s="44"/>
      <c r="AA189" s="43"/>
      <c r="AB189" s="13"/>
      <c r="AC189" s="13"/>
      <c r="AD189" s="13"/>
      <c r="AE189" s="13"/>
      <c r="AF189" s="13"/>
      <c r="AG189" s="13"/>
      <c r="AH189" s="13"/>
      <c r="AI189" s="13"/>
      <c r="AJ189" s="13"/>
      <c r="AK189" s="44"/>
    </row>
    <row r="190" spans="1:38" ht="12.75" customHeight="1">
      <c r="A190" s="41">
        <v>426</v>
      </c>
      <c r="B190" s="10">
        <v>1122</v>
      </c>
      <c r="C190" s="10" t="s">
        <v>582</v>
      </c>
      <c r="D190" s="16">
        <v>553.38</v>
      </c>
      <c r="E190" s="20" t="s">
        <v>583</v>
      </c>
      <c r="F190" s="20" t="s">
        <v>584</v>
      </c>
      <c r="G190" s="12">
        <v>3</v>
      </c>
      <c r="H190" s="12">
        <v>32</v>
      </c>
      <c r="I190" s="16">
        <f>ROUND(G190,0)</f>
        <v>3</v>
      </c>
      <c r="J190" s="16">
        <f>ROUND(H190,0)</f>
        <v>32</v>
      </c>
      <c r="K190" s="18" t="str">
        <f>IF(I190=J190,"TAM",(CONCATENATE(G190,"/",H190)))</f>
        <v>3/32</v>
      </c>
      <c r="L190" s="29">
        <f>553.38*3/32</f>
        <v>51.879374999999996</v>
      </c>
      <c r="M190" s="30">
        <v>0</v>
      </c>
      <c r="N190" s="16" t="str">
        <f>IF(M190=0,"0",(O190*M190))</f>
        <v>0</v>
      </c>
      <c r="O190" s="16">
        <f>IF(W190=1,L190,((D190*G190/H190)-P190)/(1-V190)-S190-T190)</f>
        <v>51.879374999999996</v>
      </c>
      <c r="P190" s="16">
        <v>0</v>
      </c>
      <c r="Q190" s="16">
        <f>IF(U190=0,"0",O190*U190)</f>
        <v>17.366746937077657</v>
      </c>
      <c r="R190" s="17">
        <f>IF(U190=0,(((D190*G190/H190)-P190-S190-T190)/(1-V190)),(((D190*G190/H190)-P190-S190-T190)/(1-V190))-((D190*G190/H190)-P190-S190-T190)*U190/(1-V190))</f>
        <v>34.51262806292234</v>
      </c>
      <c r="S190" s="12">
        <v>0</v>
      </c>
      <c r="T190" s="12">
        <v>0</v>
      </c>
      <c r="U190" s="12">
        <v>0.334752431714485</v>
      </c>
      <c r="V190" s="12">
        <v>0</v>
      </c>
      <c r="W190" s="28">
        <f>IF(V190&gt;U190,1,V190)</f>
        <v>0</v>
      </c>
      <c r="X190" s="12">
        <v>1</v>
      </c>
      <c r="Y190" s="16">
        <v>0</v>
      </c>
      <c r="Z190" s="42" t="str">
        <f>IF(OR(W190=1,W190=0),"0",(Q190-N190))</f>
        <v>0</v>
      </c>
      <c r="AA190" s="53" t="s">
        <v>585</v>
      </c>
      <c r="AB190" s="16" t="s">
        <v>587</v>
      </c>
      <c r="AC190" s="16">
        <v>34.51</v>
      </c>
      <c r="AD190" s="16">
        <v>468.46</v>
      </c>
      <c r="AE190" s="16">
        <f>ROUND(AC190*100,0)</f>
        <v>3451</v>
      </c>
      <c r="AF190" s="16">
        <f>ROUND(AD190*100,0)</f>
        <v>46846</v>
      </c>
      <c r="AG190" s="19" t="str">
        <f>IF(AC190=AD190,"TAM",(CONCATENATE(AE190,"/",AF190)))</f>
        <v>3451/46846</v>
      </c>
      <c r="AH190" s="11" t="s">
        <v>50</v>
      </c>
      <c r="AI190" s="21" t="s">
        <v>50</v>
      </c>
      <c r="AJ190" s="21" t="s">
        <v>586</v>
      </c>
      <c r="AK190" s="54" t="s">
        <v>50</v>
      </c>
      <c r="AL190" s="1" t="s">
        <v>50</v>
      </c>
    </row>
    <row r="191" spans="1:37" ht="12.75" customHeight="1">
      <c r="A191" s="43"/>
      <c r="B191" s="13"/>
      <c r="C191" s="13"/>
      <c r="D191" s="31"/>
      <c r="E191" s="14" t="s">
        <v>50</v>
      </c>
      <c r="F191" s="14"/>
      <c r="G191" s="14"/>
      <c r="H191" s="14"/>
      <c r="I191" s="31"/>
      <c r="J191" s="31"/>
      <c r="K191" s="15"/>
      <c r="L191" s="15"/>
      <c r="M191" s="15"/>
      <c r="N191" s="15"/>
      <c r="O191" s="15"/>
      <c r="P191" s="14"/>
      <c r="Q191" s="14"/>
      <c r="R191" s="14"/>
      <c r="S191" s="14"/>
      <c r="T191" s="14"/>
      <c r="U191" s="14"/>
      <c r="V191" s="14"/>
      <c r="W191" s="14"/>
      <c r="X191" s="14"/>
      <c r="Y191" s="13"/>
      <c r="Z191" s="44"/>
      <c r="AA191" s="43"/>
      <c r="AB191" s="13"/>
      <c r="AC191" s="13"/>
      <c r="AD191" s="13"/>
      <c r="AE191" s="13"/>
      <c r="AF191" s="13"/>
      <c r="AG191" s="13"/>
      <c r="AH191" s="13"/>
      <c r="AI191" s="13"/>
      <c r="AJ191" s="13"/>
      <c r="AK191" s="44"/>
    </row>
    <row r="192" spans="1:38" ht="12.75" customHeight="1">
      <c r="A192" s="41">
        <v>55</v>
      </c>
      <c r="B192" s="10">
        <v>1022</v>
      </c>
      <c r="C192" s="10" t="s">
        <v>588</v>
      </c>
      <c r="D192" s="16">
        <v>191.67</v>
      </c>
      <c r="E192" s="20" t="s">
        <v>589</v>
      </c>
      <c r="F192" s="20" t="s">
        <v>590</v>
      </c>
      <c r="G192" s="12">
        <v>1</v>
      </c>
      <c r="H192" s="12">
        <v>1</v>
      </c>
      <c r="I192" s="16">
        <f>ROUND(G192,0)</f>
        <v>1</v>
      </c>
      <c r="J192" s="16">
        <f>ROUND(H192,0)</f>
        <v>1</v>
      </c>
      <c r="K192" s="18" t="str">
        <f>IF(I192=J192,"TAM",(CONCATENATE(G192,"/",H192)))</f>
        <v>TAM</v>
      </c>
      <c r="L192" s="29">
        <f>191.67*1/1</f>
        <v>191.67</v>
      </c>
      <c r="M192" s="30">
        <v>0</v>
      </c>
      <c r="N192" s="16" t="str">
        <f>IF(M192=0,"0",(O192*M192))</f>
        <v>0</v>
      </c>
      <c r="O192" s="16">
        <f>IF(W192=1,L192,((D192*G192/H192)-P192)/(1-V192)-S192-T192)</f>
        <v>191.67</v>
      </c>
      <c r="P192" s="16">
        <v>0</v>
      </c>
      <c r="Q192" s="16">
        <f>IF(U192=0,"0",O192*U192)</f>
        <v>64.16199858671533</v>
      </c>
      <c r="R192" s="17">
        <f>IF(U192=0,(((D192*G192/H192)-P192-S192-T192)/(1-V192)),(((D192*G192/H192)-P192-S192-T192)/(1-V192))-((D192*G192/H192)-P192-S192-T192)*U192/(1-V192))</f>
        <v>127.50800141328466</v>
      </c>
      <c r="S192" s="12">
        <v>0</v>
      </c>
      <c r="T192" s="12">
        <v>0</v>
      </c>
      <c r="U192" s="12">
        <v>0.334752431714485</v>
      </c>
      <c r="V192" s="12">
        <v>0</v>
      </c>
      <c r="W192" s="28">
        <f>IF(V192&gt;U192,1,V192)</f>
        <v>0</v>
      </c>
      <c r="X192" s="12">
        <v>1</v>
      </c>
      <c r="Y192" s="16">
        <v>0</v>
      </c>
      <c r="Z192" s="42" t="str">
        <f>IF(OR(W192=1,W192=0),"0",(Q192-N192))</f>
        <v>0</v>
      </c>
      <c r="AA192" s="53" t="s">
        <v>591</v>
      </c>
      <c r="AB192" s="16" t="s">
        <v>593</v>
      </c>
      <c r="AC192" s="16">
        <v>127.51</v>
      </c>
      <c r="AD192" s="16">
        <v>491.7</v>
      </c>
      <c r="AE192" s="16">
        <f>ROUND(AC192*100,0)</f>
        <v>12751</v>
      </c>
      <c r="AF192" s="16">
        <f>ROUND(AD192*100,0)</f>
        <v>49170</v>
      </c>
      <c r="AG192" s="19" t="str">
        <f>IF(AC192=AD192,"TAM",(CONCATENATE(AE192,"/",AF192)))</f>
        <v>12751/49170</v>
      </c>
      <c r="AH192" s="11" t="s">
        <v>50</v>
      </c>
      <c r="AI192" s="21" t="s">
        <v>50</v>
      </c>
      <c r="AJ192" s="71" t="s">
        <v>592</v>
      </c>
      <c r="AK192" s="54" t="s">
        <v>50</v>
      </c>
      <c r="AL192" s="1" t="s">
        <v>50</v>
      </c>
    </row>
    <row r="193" spans="1:37" ht="12.75" customHeight="1">
      <c r="A193" s="43"/>
      <c r="B193" s="13"/>
      <c r="C193" s="13"/>
      <c r="D193" s="31"/>
      <c r="E193" s="14" t="s">
        <v>50</v>
      </c>
      <c r="F193" s="14"/>
      <c r="G193" s="14"/>
      <c r="H193" s="14"/>
      <c r="I193" s="31"/>
      <c r="J193" s="31"/>
      <c r="K193" s="15"/>
      <c r="L193" s="15"/>
      <c r="M193" s="15"/>
      <c r="N193" s="15"/>
      <c r="O193" s="15"/>
      <c r="P193" s="14"/>
      <c r="Q193" s="14"/>
      <c r="R193" s="14"/>
      <c r="S193" s="14"/>
      <c r="T193" s="14"/>
      <c r="U193" s="14"/>
      <c r="V193" s="14"/>
      <c r="W193" s="14"/>
      <c r="X193" s="14"/>
      <c r="Y193" s="13"/>
      <c r="Z193" s="44"/>
      <c r="AA193" s="43"/>
      <c r="AB193" s="13"/>
      <c r="AC193" s="13"/>
      <c r="AD193" s="13"/>
      <c r="AE193" s="13"/>
      <c r="AF193" s="13"/>
      <c r="AG193" s="13"/>
      <c r="AH193" s="13"/>
      <c r="AI193" s="13"/>
      <c r="AJ193" s="79"/>
      <c r="AK193" s="44"/>
    </row>
    <row r="194" spans="1:38" ht="12.75" customHeight="1">
      <c r="A194" s="41">
        <v>56</v>
      </c>
      <c r="B194" s="10">
        <v>1023</v>
      </c>
      <c r="C194" s="10" t="s">
        <v>594</v>
      </c>
      <c r="D194" s="16">
        <v>4514.69</v>
      </c>
      <c r="E194" s="20" t="s">
        <v>595</v>
      </c>
      <c r="F194" s="20" t="s">
        <v>596</v>
      </c>
      <c r="G194" s="12">
        <v>1</v>
      </c>
      <c r="H194" s="12">
        <v>1</v>
      </c>
      <c r="I194" s="16">
        <f>ROUND(G194,0)</f>
        <v>1</v>
      </c>
      <c r="J194" s="16">
        <f>ROUND(H194,0)</f>
        <v>1</v>
      </c>
      <c r="K194" s="18" t="str">
        <f>IF(I194=J194,"TAM",(CONCATENATE(G194,"/",H194)))</f>
        <v>TAM</v>
      </c>
      <c r="L194" s="29">
        <f>4514.69*1/1</f>
        <v>4514.69</v>
      </c>
      <c r="M194" s="30">
        <v>0</v>
      </c>
      <c r="N194" s="16" t="str">
        <f>IF(M194=0,"0",(O194*M194))</f>
        <v>0</v>
      </c>
      <c r="O194" s="16">
        <f>IF(W194=1,L194,((D194*G194/H194)-P194)/(1-V194)-S194-T194)</f>
        <v>4514.69</v>
      </c>
      <c r="P194" s="16">
        <v>0</v>
      </c>
      <c r="Q194" s="16">
        <f>IF(U194=0,"0",O194*U194)</f>
        <v>1511.303455937068</v>
      </c>
      <c r="R194" s="17">
        <f>IF(U194=0,(((D194*G194/H194)-P194-S194-T194)/(1-V194)),(((D194*G194/H194)-P194-S194-T194)/(1-V194))-((D194*G194/H194)-P194-S194-T194)*U194/(1-V194))</f>
        <v>3003.3865440629315</v>
      </c>
      <c r="S194" s="12">
        <v>0</v>
      </c>
      <c r="T194" s="12">
        <v>0</v>
      </c>
      <c r="U194" s="12">
        <v>0.334752431714485</v>
      </c>
      <c r="V194" s="12">
        <v>0</v>
      </c>
      <c r="W194" s="28">
        <f>IF(V194&gt;U194,1,V194)</f>
        <v>0</v>
      </c>
      <c r="X194" s="12">
        <v>1</v>
      </c>
      <c r="Y194" s="16">
        <v>0</v>
      </c>
      <c r="Z194" s="42" t="str">
        <f>IF(OR(W194=1,W194=0),"0",(Q194-N194))</f>
        <v>0</v>
      </c>
      <c r="AA194" s="53" t="s">
        <v>598</v>
      </c>
      <c r="AB194" s="16" t="s">
        <v>599</v>
      </c>
      <c r="AC194" s="16">
        <v>136.99</v>
      </c>
      <c r="AD194" s="16">
        <v>491.7</v>
      </c>
      <c r="AE194" s="16">
        <f>ROUND(AC194*100,0)</f>
        <v>13699</v>
      </c>
      <c r="AF194" s="16">
        <f>ROUND(AD194*100,0)</f>
        <v>49170</v>
      </c>
      <c r="AG194" s="19" t="str">
        <f>IF(AC194=AD194,"TAM",(CONCATENATE(AE194,"/",AF194)))</f>
        <v>13699/49170</v>
      </c>
      <c r="AH194" s="11" t="s">
        <v>50</v>
      </c>
      <c r="AI194" s="21" t="s">
        <v>50</v>
      </c>
      <c r="AJ194" s="71" t="s">
        <v>592</v>
      </c>
      <c r="AK194" s="54" t="s">
        <v>50</v>
      </c>
      <c r="AL194" s="1" t="s">
        <v>50</v>
      </c>
    </row>
    <row r="195" spans="1:37" ht="113.25" customHeight="1">
      <c r="A195" s="43"/>
      <c r="B195" s="13"/>
      <c r="C195" s="13"/>
      <c r="D195" s="31"/>
      <c r="E195" s="34" t="s">
        <v>597</v>
      </c>
      <c r="F195" s="14"/>
      <c r="G195" s="14"/>
      <c r="H195" s="14"/>
      <c r="I195" s="31"/>
      <c r="J195" s="31"/>
      <c r="K195" s="15"/>
      <c r="L195" s="15"/>
      <c r="M195" s="15"/>
      <c r="N195" s="15"/>
      <c r="O195" s="15"/>
      <c r="P195" s="14"/>
      <c r="Q195" s="14"/>
      <c r="R195" s="14"/>
      <c r="S195" s="14"/>
      <c r="T195" s="14"/>
      <c r="U195" s="14"/>
      <c r="V195" s="14"/>
      <c r="W195" s="14"/>
      <c r="X195" s="14"/>
      <c r="Y195" s="13"/>
      <c r="Z195" s="44"/>
      <c r="AA195" s="43"/>
      <c r="AB195" s="13"/>
      <c r="AC195" s="13"/>
      <c r="AD195" s="13"/>
      <c r="AE195" s="13"/>
      <c r="AF195" s="13"/>
      <c r="AG195" s="13"/>
      <c r="AH195" s="13"/>
      <c r="AI195" s="13"/>
      <c r="AJ195" s="79"/>
      <c r="AK195" s="44"/>
    </row>
    <row r="196" spans="1:38" ht="12.75" customHeight="1">
      <c r="A196" s="41">
        <v>68</v>
      </c>
      <c r="B196" s="10">
        <v>1024</v>
      </c>
      <c r="C196" s="10" t="s">
        <v>600</v>
      </c>
      <c r="D196" s="16">
        <v>311.45</v>
      </c>
      <c r="E196" s="20" t="s">
        <v>601</v>
      </c>
      <c r="F196" s="20" t="s">
        <v>602</v>
      </c>
      <c r="G196" s="12">
        <v>1</v>
      </c>
      <c r="H196" s="12">
        <v>1</v>
      </c>
      <c r="I196" s="16">
        <f>ROUND(G196,0)</f>
        <v>1</v>
      </c>
      <c r="J196" s="16">
        <f>ROUND(H196,0)</f>
        <v>1</v>
      </c>
      <c r="K196" s="18" t="str">
        <f>IF(I196=J196,"TAM",(CONCATENATE(G196,"/",H196)))</f>
        <v>TAM</v>
      </c>
      <c r="L196" s="29">
        <f>311.45*1/1</f>
        <v>311.45</v>
      </c>
      <c r="M196" s="30">
        <v>0</v>
      </c>
      <c r="N196" s="16" t="str">
        <f>IF(M196=0,"0",(O196*M196))</f>
        <v>0</v>
      </c>
      <c r="O196" s="16">
        <f>IF(W196=1,L196,((D196*G196/H196)-P196)/(1-V196)-S196-T196)</f>
        <v>311.45</v>
      </c>
      <c r="P196" s="16">
        <v>0</v>
      </c>
      <c r="Q196" s="16">
        <f>IF(U196=0,"0",O196*U196)</f>
        <v>104.25864485747634</v>
      </c>
      <c r="R196" s="17">
        <f>IF(U196=0,(((D196*G196/H196)-P196-S196-T196)/(1-V196)),(((D196*G196/H196)-P196-S196-T196)/(1-V196))-((D196*G196/H196)-P196-S196-T196)*U196/(1-V196))</f>
        <v>207.19135514252366</v>
      </c>
      <c r="S196" s="12">
        <v>0</v>
      </c>
      <c r="T196" s="12">
        <v>0</v>
      </c>
      <c r="U196" s="12">
        <v>0.334752431714485</v>
      </c>
      <c r="V196" s="12">
        <v>0</v>
      </c>
      <c r="W196" s="28">
        <f>IF(V196&gt;U196,1,V196)</f>
        <v>0</v>
      </c>
      <c r="X196" s="12">
        <v>1</v>
      </c>
      <c r="Y196" s="16">
        <v>0</v>
      </c>
      <c r="Z196" s="42" t="str">
        <f>IF(OR(W196=1,W196=0),"0",(Q196-N196))</f>
        <v>0</v>
      </c>
      <c r="AA196" s="53" t="s">
        <v>603</v>
      </c>
      <c r="AB196" s="16" t="s">
        <v>604</v>
      </c>
      <c r="AC196" s="16">
        <v>207.19</v>
      </c>
      <c r="AD196" s="16">
        <v>491.7</v>
      </c>
      <c r="AE196" s="16">
        <f>ROUND(AC196*100,0)</f>
        <v>20719</v>
      </c>
      <c r="AF196" s="16">
        <f>ROUND(AD196*100,0)</f>
        <v>49170</v>
      </c>
      <c r="AG196" s="19" t="str">
        <f>IF(AC196=AD196,"TAM",(CONCATENATE(AE196,"/",AF196)))</f>
        <v>20719/49170</v>
      </c>
      <c r="AH196" s="11" t="s">
        <v>50</v>
      </c>
      <c r="AI196" s="21" t="s">
        <v>50</v>
      </c>
      <c r="AJ196" s="71" t="s">
        <v>592</v>
      </c>
      <c r="AK196" s="54" t="s">
        <v>50</v>
      </c>
      <c r="AL196" s="1" t="s">
        <v>50</v>
      </c>
    </row>
    <row r="197" spans="1:37" ht="12.75" customHeight="1">
      <c r="A197" s="43"/>
      <c r="B197" s="13"/>
      <c r="C197" s="13"/>
      <c r="D197" s="31"/>
      <c r="E197" s="14" t="s">
        <v>50</v>
      </c>
      <c r="F197" s="14"/>
      <c r="G197" s="14"/>
      <c r="H197" s="14"/>
      <c r="I197" s="31"/>
      <c r="J197" s="31"/>
      <c r="K197" s="15"/>
      <c r="L197" s="15"/>
      <c r="M197" s="15"/>
      <c r="N197" s="15"/>
      <c r="O197" s="15"/>
      <c r="P197" s="14"/>
      <c r="Q197" s="14"/>
      <c r="R197" s="14"/>
      <c r="S197" s="14"/>
      <c r="T197" s="14"/>
      <c r="U197" s="14"/>
      <c r="V197" s="14"/>
      <c r="W197" s="14"/>
      <c r="X197" s="14"/>
      <c r="Y197" s="13"/>
      <c r="Z197" s="44"/>
      <c r="AA197" s="43"/>
      <c r="AB197" s="13"/>
      <c r="AC197" s="13"/>
      <c r="AD197" s="13"/>
      <c r="AE197" s="13"/>
      <c r="AF197" s="13"/>
      <c r="AG197" s="13"/>
      <c r="AH197" s="13"/>
      <c r="AI197" s="13"/>
      <c r="AJ197" s="79"/>
      <c r="AK197" s="44"/>
    </row>
    <row r="198" spans="1:38" ht="12.75" customHeight="1">
      <c r="A198" s="41">
        <v>506</v>
      </c>
      <c r="B198" s="10">
        <v>1288</v>
      </c>
      <c r="C198" s="10" t="s">
        <v>605</v>
      </c>
      <c r="D198" s="16">
        <v>231.71</v>
      </c>
      <c r="E198" s="20" t="s">
        <v>606</v>
      </c>
      <c r="F198" s="20" t="s">
        <v>607</v>
      </c>
      <c r="G198" s="12">
        <v>1</v>
      </c>
      <c r="H198" s="12">
        <v>1</v>
      </c>
      <c r="I198" s="16">
        <f>ROUND(G198,0)</f>
        <v>1</v>
      </c>
      <c r="J198" s="16">
        <f>ROUND(H198,0)</f>
        <v>1</v>
      </c>
      <c r="K198" s="18" t="str">
        <f>IF(I198=J198,"TAM",(CONCATENATE(G198,"/",H198)))</f>
        <v>TAM</v>
      </c>
      <c r="L198" s="29">
        <f>231.71*1/1</f>
        <v>231.71</v>
      </c>
      <c r="M198" s="30">
        <v>0</v>
      </c>
      <c r="N198" s="16" t="str">
        <f>IF(M198=0,"0",(O198*M198))</f>
        <v>0</v>
      </c>
      <c r="O198" s="16">
        <f>IF(W198=1,L198,((D198*G198/H198)-P198)/(1-V198)-S198-T198)</f>
        <v>30.080000000000013</v>
      </c>
      <c r="P198" s="16">
        <v>201.63</v>
      </c>
      <c r="Q198" s="16">
        <f>IF(U198=0,"0",O198*U198)</f>
        <v>10.069353145971712</v>
      </c>
      <c r="R198" s="17">
        <f>IF(U198=0,(((D198*G198/H198)-P198-S198-T198)/(1-V198)),(((D198*G198/H198)-P198-S198-T198)/(1-V198))-((D198*G198/H198)-P198-S198-T198)*U198/(1-V198))</f>
        <v>20.010646854028302</v>
      </c>
      <c r="S198" s="12">
        <v>0</v>
      </c>
      <c r="T198" s="12">
        <v>0</v>
      </c>
      <c r="U198" s="12">
        <v>0.334752431714485</v>
      </c>
      <c r="V198" s="12">
        <v>0</v>
      </c>
      <c r="W198" s="28">
        <f>IF(V198&gt;U198,1,V198)</f>
        <v>0</v>
      </c>
      <c r="X198" s="12">
        <v>1</v>
      </c>
      <c r="Y198" s="16">
        <v>0</v>
      </c>
      <c r="Z198" s="42" t="str">
        <f>IF(OR(W198=1,W198=0),"0",(Q198-N198))</f>
        <v>0</v>
      </c>
      <c r="AA198" s="53" t="s">
        <v>608</v>
      </c>
      <c r="AB198" s="16" t="s">
        <v>609</v>
      </c>
      <c r="AC198" s="16">
        <v>20.01</v>
      </c>
      <c r="AD198" s="16">
        <v>491.7</v>
      </c>
      <c r="AE198" s="16">
        <f>ROUND(AC198*100,0)</f>
        <v>2001</v>
      </c>
      <c r="AF198" s="16">
        <f>ROUND(AD198*100,0)</f>
        <v>49170</v>
      </c>
      <c r="AG198" s="19" t="str">
        <f>IF(AC198=AD198,"TAM",(CONCATENATE(AE198,"/",AF198)))</f>
        <v>2001/49170</v>
      </c>
      <c r="AH198" s="11" t="s">
        <v>50</v>
      </c>
      <c r="AI198" s="21" t="s">
        <v>50</v>
      </c>
      <c r="AJ198" s="71" t="s">
        <v>592</v>
      </c>
      <c r="AK198" s="54" t="s">
        <v>50</v>
      </c>
      <c r="AL198" s="1" t="s">
        <v>50</v>
      </c>
    </row>
    <row r="199" spans="1:37" ht="12.75" customHeight="1">
      <c r="A199" s="43"/>
      <c r="B199" s="13"/>
      <c r="C199" s="13"/>
      <c r="D199" s="31"/>
      <c r="E199" s="14" t="s">
        <v>50</v>
      </c>
      <c r="F199" s="14"/>
      <c r="G199" s="14"/>
      <c r="H199" s="14"/>
      <c r="I199" s="31"/>
      <c r="J199" s="31"/>
      <c r="K199" s="15"/>
      <c r="L199" s="15"/>
      <c r="M199" s="15"/>
      <c r="N199" s="15"/>
      <c r="O199" s="15"/>
      <c r="P199" s="14"/>
      <c r="Q199" s="14"/>
      <c r="R199" s="14"/>
      <c r="S199" s="14"/>
      <c r="T199" s="14"/>
      <c r="U199" s="14"/>
      <c r="V199" s="14"/>
      <c r="W199" s="14"/>
      <c r="X199" s="14"/>
      <c r="Y199" s="13"/>
      <c r="Z199" s="44"/>
      <c r="AA199" s="43"/>
      <c r="AB199" s="13"/>
      <c r="AC199" s="13"/>
      <c r="AD199" s="13"/>
      <c r="AE199" s="13"/>
      <c r="AF199" s="13"/>
      <c r="AG199" s="13"/>
      <c r="AH199" s="13"/>
      <c r="AI199" s="13"/>
      <c r="AJ199" s="79"/>
      <c r="AK199" s="44"/>
    </row>
    <row r="200" spans="1:38" ht="12.75" customHeight="1">
      <c r="A200" s="41">
        <v>69</v>
      </c>
      <c r="B200" s="10">
        <v>1025</v>
      </c>
      <c r="C200" s="10" t="s">
        <v>610</v>
      </c>
      <c r="D200" s="16">
        <v>242.05</v>
      </c>
      <c r="E200" s="20" t="s">
        <v>611</v>
      </c>
      <c r="F200" s="20" t="s">
        <v>612</v>
      </c>
      <c r="G200" s="12">
        <v>1</v>
      </c>
      <c r="H200" s="12">
        <v>1</v>
      </c>
      <c r="I200" s="16">
        <f>ROUND(G200,0)</f>
        <v>1</v>
      </c>
      <c r="J200" s="16">
        <f>ROUND(H200,0)</f>
        <v>1</v>
      </c>
      <c r="K200" s="18" t="str">
        <f>IF(I200=J200,"TAM",(CONCATENATE(G200,"/",H200)))</f>
        <v>TAM</v>
      </c>
      <c r="L200" s="29">
        <f>242.05*1/1</f>
        <v>242.05</v>
      </c>
      <c r="M200" s="30">
        <v>0</v>
      </c>
      <c r="N200" s="16" t="str">
        <f>IF(M200=0,"0",(O200*M200))</f>
        <v>0</v>
      </c>
      <c r="O200" s="16">
        <f>IF(W200=1,L200,((D200*G200/H200)-P200)/(1-V200)-S200-T200)</f>
        <v>242.05</v>
      </c>
      <c r="P200" s="16">
        <v>0</v>
      </c>
      <c r="Q200" s="16">
        <f>IF(U200=0,"0",O200*U200)</f>
        <v>81.02682609649109</v>
      </c>
      <c r="R200" s="17">
        <f>IF(U200=0,(((D200*G200/H200)-P200-S200-T200)/(1-V200)),(((D200*G200/H200)-P200-S200-T200)/(1-V200))-((D200*G200/H200)-P200-S200-T200)*U200/(1-V200))</f>
        <v>161.0231739035089</v>
      </c>
      <c r="S200" s="12">
        <v>0</v>
      </c>
      <c r="T200" s="12">
        <v>0</v>
      </c>
      <c r="U200" s="12">
        <v>0.334752431714485</v>
      </c>
      <c r="V200" s="12">
        <v>0</v>
      </c>
      <c r="W200" s="28">
        <f>IF(V200&gt;U200,1,V200)</f>
        <v>0</v>
      </c>
      <c r="X200" s="12">
        <v>1</v>
      </c>
      <c r="Y200" s="16">
        <v>0</v>
      </c>
      <c r="Z200" s="42" t="str">
        <f>IF(OR(W200=1,W200=0),"0",(Q200-N200))</f>
        <v>0</v>
      </c>
      <c r="AA200" s="53" t="s">
        <v>614</v>
      </c>
      <c r="AB200" s="16" t="s">
        <v>616</v>
      </c>
      <c r="AC200" s="16">
        <v>161.02</v>
      </c>
      <c r="AD200" s="16">
        <v>465.57</v>
      </c>
      <c r="AE200" s="16">
        <f>ROUND(AC200*100,0)</f>
        <v>16102</v>
      </c>
      <c r="AF200" s="16">
        <f>ROUND(AD200*100,0)</f>
        <v>46557</v>
      </c>
      <c r="AG200" s="19" t="str">
        <f>IF(AC200=AD200,"TAM",(CONCATENATE(AE200,"/",AF200)))</f>
        <v>16102/46557</v>
      </c>
      <c r="AH200" s="11" t="s">
        <v>50</v>
      </c>
      <c r="AI200" s="21" t="s">
        <v>50</v>
      </c>
      <c r="AJ200" s="21" t="s">
        <v>615</v>
      </c>
      <c r="AK200" s="54" t="s">
        <v>50</v>
      </c>
      <c r="AL200" s="1" t="s">
        <v>50</v>
      </c>
    </row>
    <row r="201" spans="1:37" ht="33" customHeight="1">
      <c r="A201" s="43"/>
      <c r="B201" s="13"/>
      <c r="C201" s="13"/>
      <c r="D201" s="31"/>
      <c r="E201" s="34" t="s">
        <v>613</v>
      </c>
      <c r="F201" s="14"/>
      <c r="G201" s="14"/>
      <c r="H201" s="14"/>
      <c r="I201" s="31"/>
      <c r="J201" s="31"/>
      <c r="K201" s="15"/>
      <c r="L201" s="15"/>
      <c r="M201" s="15"/>
      <c r="N201" s="15"/>
      <c r="O201" s="15"/>
      <c r="P201" s="14"/>
      <c r="Q201" s="14"/>
      <c r="R201" s="14"/>
      <c r="S201" s="14"/>
      <c r="T201" s="14"/>
      <c r="U201" s="14"/>
      <c r="V201" s="14"/>
      <c r="W201" s="14"/>
      <c r="X201" s="14"/>
      <c r="Y201" s="13"/>
      <c r="Z201" s="44"/>
      <c r="AA201" s="43"/>
      <c r="AB201" s="13"/>
      <c r="AC201" s="13"/>
      <c r="AD201" s="13"/>
      <c r="AE201" s="13"/>
      <c r="AF201" s="13"/>
      <c r="AG201" s="13"/>
      <c r="AH201" s="13"/>
      <c r="AI201" s="13"/>
      <c r="AJ201" s="13"/>
      <c r="AK201" s="44"/>
    </row>
    <row r="202" spans="1:38" ht="12.75" customHeight="1">
      <c r="A202" s="41">
        <v>325</v>
      </c>
      <c r="B202" s="10">
        <v>1102</v>
      </c>
      <c r="C202" s="10" t="s">
        <v>617</v>
      </c>
      <c r="D202" s="16">
        <v>576.04</v>
      </c>
      <c r="E202" s="20" t="s">
        <v>618</v>
      </c>
      <c r="F202" s="20" t="s">
        <v>619</v>
      </c>
      <c r="G202" s="12">
        <v>1</v>
      </c>
      <c r="H202" s="12">
        <v>1</v>
      </c>
      <c r="I202" s="16">
        <f>ROUND(G202,0)</f>
        <v>1</v>
      </c>
      <c r="J202" s="16">
        <f>ROUND(H202,0)</f>
        <v>1</v>
      </c>
      <c r="K202" s="18" t="str">
        <f>IF(I202=J202,"TAM",(CONCATENATE(G202,"/",H202)))</f>
        <v>TAM</v>
      </c>
      <c r="L202" s="29">
        <f>576.04*1/1</f>
        <v>576.04</v>
      </c>
      <c r="M202" s="30">
        <v>0</v>
      </c>
      <c r="N202" s="16" t="str">
        <f>IF(M202=0,"0",(O202*M202))</f>
        <v>0</v>
      </c>
      <c r="O202" s="16">
        <f>IF(W202=1,L202,((D202*G202/H202)-P202)/(1-V202)-S202-T202)</f>
        <v>576.04</v>
      </c>
      <c r="P202" s="16">
        <v>0</v>
      </c>
      <c r="Q202" s="16">
        <f>IF(U202=0,"0",O202*U202)</f>
        <v>192.83079076481192</v>
      </c>
      <c r="R202" s="17">
        <f>IF(U202=0,(((D202*G202/H202)-P202-S202-T202)/(1-V202)),(((D202*G202/H202)-P202-S202-T202)/(1-V202))-((D202*G202/H202)-P202-S202-T202)*U202/(1-V202))</f>
        <v>383.20920923518804</v>
      </c>
      <c r="S202" s="12">
        <v>0</v>
      </c>
      <c r="T202" s="12">
        <v>0</v>
      </c>
      <c r="U202" s="12">
        <v>0.334752431714485</v>
      </c>
      <c r="V202" s="12">
        <v>0</v>
      </c>
      <c r="W202" s="28">
        <f>IF(V202&gt;U202,1,V202)</f>
        <v>0</v>
      </c>
      <c r="X202" s="12">
        <v>1</v>
      </c>
      <c r="Y202" s="16">
        <v>0</v>
      </c>
      <c r="Z202" s="42" t="str">
        <f>IF(OR(W202=1,W202=0),"0",(Q202-N202))</f>
        <v>0</v>
      </c>
      <c r="AA202" s="53" t="s">
        <v>620</v>
      </c>
      <c r="AB202" s="16" t="s">
        <v>622</v>
      </c>
      <c r="AC202" s="16">
        <v>157.55</v>
      </c>
      <c r="AD202" s="16">
        <v>465.57</v>
      </c>
      <c r="AE202" s="16">
        <f>ROUND(AC202*100,0)</f>
        <v>15755</v>
      </c>
      <c r="AF202" s="16">
        <f>ROUND(AD202*100,0)</f>
        <v>46557</v>
      </c>
      <c r="AG202" s="19" t="str">
        <f>IF(AC202=AD202,"TAM",(CONCATENATE(AE202,"/",AF202)))</f>
        <v>15755/46557</v>
      </c>
      <c r="AH202" s="11" t="s">
        <v>50</v>
      </c>
      <c r="AI202" s="21" t="s">
        <v>50</v>
      </c>
      <c r="AJ202" s="21" t="s">
        <v>621</v>
      </c>
      <c r="AK202" s="54" t="s">
        <v>50</v>
      </c>
      <c r="AL202" s="1" t="s">
        <v>50</v>
      </c>
    </row>
    <row r="203" spans="1:37" ht="12.75" customHeight="1">
      <c r="A203" s="43"/>
      <c r="B203" s="13"/>
      <c r="C203" s="13"/>
      <c r="D203" s="31"/>
      <c r="E203" s="14" t="s">
        <v>50</v>
      </c>
      <c r="F203" s="14"/>
      <c r="G203" s="14"/>
      <c r="H203" s="14"/>
      <c r="I203" s="31"/>
      <c r="J203" s="31"/>
      <c r="K203" s="15"/>
      <c r="L203" s="15"/>
      <c r="M203" s="15"/>
      <c r="N203" s="15"/>
      <c r="O203" s="15"/>
      <c r="P203" s="14"/>
      <c r="Q203" s="14"/>
      <c r="R203" s="14"/>
      <c r="S203" s="14"/>
      <c r="T203" s="14"/>
      <c r="U203" s="14"/>
      <c r="V203" s="14"/>
      <c r="W203" s="14"/>
      <c r="X203" s="14"/>
      <c r="Y203" s="13"/>
      <c r="Z203" s="44"/>
      <c r="AA203" s="43"/>
      <c r="AB203" s="13"/>
      <c r="AC203" s="13"/>
      <c r="AD203" s="13"/>
      <c r="AE203" s="13"/>
      <c r="AF203" s="13"/>
      <c r="AG203" s="13"/>
      <c r="AH203" s="13"/>
      <c r="AI203" s="13"/>
      <c r="AJ203" s="13"/>
      <c r="AK203" s="44"/>
    </row>
    <row r="204" spans="1:38" ht="12.75" customHeight="1">
      <c r="A204" s="41">
        <v>458</v>
      </c>
      <c r="B204" s="10">
        <v>1139</v>
      </c>
      <c r="C204" s="10" t="s">
        <v>623</v>
      </c>
      <c r="D204" s="16">
        <v>3113.93</v>
      </c>
      <c r="E204" s="20" t="s">
        <v>624</v>
      </c>
      <c r="F204" s="20" t="s">
        <v>625</v>
      </c>
      <c r="G204" s="12">
        <v>1</v>
      </c>
      <c r="H204" s="12">
        <v>1</v>
      </c>
      <c r="I204" s="16">
        <f>ROUND(G204,0)</f>
        <v>1</v>
      </c>
      <c r="J204" s="16">
        <f>ROUND(H204,0)</f>
        <v>1</v>
      </c>
      <c r="K204" s="18" t="str">
        <f>IF(I204=J204,"TAM",(CONCATENATE(G204,"/",H204)))</f>
        <v>TAM</v>
      </c>
      <c r="L204" s="29">
        <f>3113.93*1/1</f>
        <v>3113.93</v>
      </c>
      <c r="M204" s="30">
        <v>0</v>
      </c>
      <c r="N204" s="16" t="str">
        <f>IF(M204=0,"0",(O204*M204))</f>
        <v>0</v>
      </c>
      <c r="O204" s="16">
        <f>IF(W204=1,L204,((D204*G204/H204)-P204)/(1-V204)-S204-T204)</f>
        <v>3113.93</v>
      </c>
      <c r="P204" s="16">
        <v>0</v>
      </c>
      <c r="Q204" s="16">
        <f>IF(U204=0,"0",O204*U204)</f>
        <v>1042.3956396886863</v>
      </c>
      <c r="R204" s="17">
        <f>IF(U204=0,(((D204*G204/H204)-P204-S204-T204)/(1-V204)),(((D204*G204/H204)-P204-S204-T204)/(1-V204))-((D204*G204/H204)-P204-S204-T204)*U204/(1-V204))</f>
        <v>2071.5343603113133</v>
      </c>
      <c r="S204" s="12">
        <v>0</v>
      </c>
      <c r="T204" s="12">
        <v>0</v>
      </c>
      <c r="U204" s="12">
        <v>0.334752431714485</v>
      </c>
      <c r="V204" s="12">
        <v>0</v>
      </c>
      <c r="W204" s="28">
        <f>IF(V204&gt;U204,1,V204)</f>
        <v>0</v>
      </c>
      <c r="X204" s="12">
        <v>1</v>
      </c>
      <c r="Y204" s="16">
        <v>0</v>
      </c>
      <c r="Z204" s="42" t="str">
        <f>IF(OR(W204=1,W204=0),"0",(Q204-N204))</f>
        <v>0</v>
      </c>
      <c r="AA204" s="53" t="s">
        <v>626</v>
      </c>
      <c r="AB204" s="16" t="s">
        <v>628</v>
      </c>
      <c r="AC204" s="16">
        <v>147</v>
      </c>
      <c r="AD204" s="16">
        <v>465.57</v>
      </c>
      <c r="AE204" s="16">
        <f>ROUND(AC204*100,0)</f>
        <v>14700</v>
      </c>
      <c r="AF204" s="16">
        <f>ROUND(AD204*100,0)</f>
        <v>46557</v>
      </c>
      <c r="AG204" s="19" t="str">
        <f>IF(AC204=AD204,"TAM",(CONCATENATE(AE204,"/",AF204)))</f>
        <v>14700/46557</v>
      </c>
      <c r="AH204" s="11" t="s">
        <v>50</v>
      </c>
      <c r="AI204" s="21" t="s">
        <v>50</v>
      </c>
      <c r="AJ204" s="21" t="s">
        <v>627</v>
      </c>
      <c r="AK204" s="54" t="s">
        <v>50</v>
      </c>
      <c r="AL204" s="1" t="s">
        <v>50</v>
      </c>
    </row>
    <row r="205" spans="1:37" ht="12.75" customHeight="1">
      <c r="A205" s="43"/>
      <c r="B205" s="13"/>
      <c r="C205" s="13"/>
      <c r="D205" s="31"/>
      <c r="E205" s="14" t="s">
        <v>50</v>
      </c>
      <c r="F205" s="14"/>
      <c r="G205" s="14"/>
      <c r="H205" s="14"/>
      <c r="I205" s="31"/>
      <c r="J205" s="31"/>
      <c r="K205" s="15"/>
      <c r="L205" s="15"/>
      <c r="M205" s="15"/>
      <c r="N205" s="15"/>
      <c r="O205" s="15"/>
      <c r="P205" s="14"/>
      <c r="Q205" s="14"/>
      <c r="R205" s="14"/>
      <c r="S205" s="14"/>
      <c r="T205" s="14"/>
      <c r="U205" s="14"/>
      <c r="V205" s="14"/>
      <c r="W205" s="14"/>
      <c r="X205" s="14"/>
      <c r="Y205" s="13"/>
      <c r="Z205" s="44"/>
      <c r="AA205" s="43"/>
      <c r="AB205" s="13"/>
      <c r="AC205" s="13"/>
      <c r="AD205" s="13"/>
      <c r="AE205" s="13"/>
      <c r="AF205" s="13"/>
      <c r="AG205" s="13"/>
      <c r="AH205" s="13"/>
      <c r="AI205" s="13"/>
      <c r="AJ205" s="13"/>
      <c r="AK205" s="44"/>
    </row>
    <row r="206" spans="1:38" ht="17.25" customHeight="1">
      <c r="A206" s="41">
        <v>74</v>
      </c>
      <c r="B206" s="10">
        <v>1026</v>
      </c>
      <c r="C206" s="10" t="s">
        <v>629</v>
      </c>
      <c r="D206" s="16">
        <v>1093.35</v>
      </c>
      <c r="E206" s="20" t="s">
        <v>630</v>
      </c>
      <c r="F206" s="20" t="s">
        <v>631</v>
      </c>
      <c r="G206" s="12">
        <v>6</v>
      </c>
      <c r="H206" s="12">
        <v>16</v>
      </c>
      <c r="I206" s="16">
        <f>ROUND(G206,0)</f>
        <v>6</v>
      </c>
      <c r="J206" s="16">
        <f>ROUND(H206,0)</f>
        <v>16</v>
      </c>
      <c r="K206" s="18" t="str">
        <f>IF(I206=J206,"TAM",(CONCATENATE(G206,"/",H206)))</f>
        <v>6/16</v>
      </c>
      <c r="L206" s="29">
        <f>1093.35*6/16</f>
        <v>410.00624999999997</v>
      </c>
      <c r="M206" s="30">
        <v>0</v>
      </c>
      <c r="N206" s="16" t="str">
        <f>IF(M206=0,"0",(O206*M206))</f>
        <v>0</v>
      </c>
      <c r="O206" s="16">
        <f>IF(W206=1,L206,((D206*G206/H206)-P206)/(1-V206)-S206-T206)</f>
        <v>410.00624999999997</v>
      </c>
      <c r="P206" s="16">
        <v>0</v>
      </c>
      <c r="Q206" s="16">
        <f>IF(U206=0,"0",O206*U206)</f>
        <v>137.25058920563706</v>
      </c>
      <c r="R206" s="17">
        <f>IF(U206=0,(((D206*G206/H206)-P206-S206-T206)/(1-V206)),(((D206*G206/H206)-P206-S206-T206)/(1-V206))-((D206*G206/H206)-P206-S206-T206)*U206/(1-V206))</f>
        <v>272.75566079436294</v>
      </c>
      <c r="S206" s="12">
        <v>0</v>
      </c>
      <c r="T206" s="12">
        <v>0</v>
      </c>
      <c r="U206" s="12">
        <v>0.334752431714485</v>
      </c>
      <c r="V206" s="12">
        <v>0</v>
      </c>
      <c r="W206" s="28">
        <f>IF(V206&gt;U206,1,V206)</f>
        <v>0</v>
      </c>
      <c r="X206" s="12">
        <v>1</v>
      </c>
      <c r="Y206" s="16">
        <v>0</v>
      </c>
      <c r="Z206" s="42" t="str">
        <f>IF(OR(W206=1,W206=0),"0",(Q206-N206))</f>
        <v>0</v>
      </c>
      <c r="AA206" s="53" t="s">
        <v>632</v>
      </c>
      <c r="AB206" s="16" t="s">
        <v>633</v>
      </c>
      <c r="AC206" s="16">
        <v>184.17</v>
      </c>
      <c r="AD206" s="16">
        <v>491.09</v>
      </c>
      <c r="AE206" s="16">
        <f>ROUND(AC206*100,0)</f>
        <v>18417</v>
      </c>
      <c r="AF206" s="16">
        <f>ROUND(AD206*100,0)</f>
        <v>49109</v>
      </c>
      <c r="AG206" s="19" t="str">
        <f>IF(AC206=AD206,"TAM",(CONCATENATE(AE206,"/",AF206)))</f>
        <v>18417/49109</v>
      </c>
      <c r="AH206" s="11" t="s">
        <v>50</v>
      </c>
      <c r="AI206" s="21" t="s">
        <v>50</v>
      </c>
      <c r="AJ206" s="77" t="s">
        <v>2429</v>
      </c>
      <c r="AK206" s="54" t="s">
        <v>50</v>
      </c>
      <c r="AL206" s="1" t="s">
        <v>50</v>
      </c>
    </row>
    <row r="207" spans="1:37" ht="17.25" customHeight="1">
      <c r="A207" s="43"/>
      <c r="B207" s="13"/>
      <c r="C207" s="13"/>
      <c r="D207" s="31"/>
      <c r="E207" s="14" t="s">
        <v>50</v>
      </c>
      <c r="F207" s="14"/>
      <c r="G207" s="14"/>
      <c r="H207" s="14"/>
      <c r="I207" s="31"/>
      <c r="J207" s="31"/>
      <c r="K207" s="15"/>
      <c r="L207" s="15"/>
      <c r="M207" s="15"/>
      <c r="N207" s="15"/>
      <c r="O207" s="15"/>
      <c r="P207" s="14"/>
      <c r="Q207" s="14"/>
      <c r="R207" s="14"/>
      <c r="S207" s="14"/>
      <c r="T207" s="14"/>
      <c r="U207" s="14"/>
      <c r="V207" s="14"/>
      <c r="W207" s="14"/>
      <c r="X207" s="14"/>
      <c r="Y207" s="13"/>
      <c r="Z207" s="44"/>
      <c r="AA207" s="43"/>
      <c r="AB207" s="13"/>
      <c r="AC207" s="13"/>
      <c r="AD207" s="13"/>
      <c r="AE207" s="13"/>
      <c r="AF207" s="13"/>
      <c r="AG207" s="13"/>
      <c r="AH207" s="13"/>
      <c r="AI207" s="13"/>
      <c r="AJ207" s="78"/>
      <c r="AK207" s="44"/>
    </row>
    <row r="208" spans="1:38" ht="17.25" customHeight="1">
      <c r="A208" s="41">
        <v>73</v>
      </c>
      <c r="B208" s="10">
        <v>1026</v>
      </c>
      <c r="C208" s="10" t="s">
        <v>634</v>
      </c>
      <c r="D208" s="16">
        <v>1093.35</v>
      </c>
      <c r="E208" s="20" t="s">
        <v>635</v>
      </c>
      <c r="F208" s="20" t="s">
        <v>636</v>
      </c>
      <c r="G208" s="12">
        <v>4</v>
      </c>
      <c r="H208" s="12">
        <v>16</v>
      </c>
      <c r="I208" s="16">
        <f>ROUND(G208,0)</f>
        <v>4</v>
      </c>
      <c r="J208" s="16">
        <f>ROUND(H208,0)</f>
        <v>16</v>
      </c>
      <c r="K208" s="18" t="str">
        <f>IF(I208=J208,"TAM",(CONCATENATE(G208,"/",H208)))</f>
        <v>4/16</v>
      </c>
      <c r="L208" s="29">
        <f>1093.35*4/16</f>
        <v>273.3375</v>
      </c>
      <c r="M208" s="30">
        <v>0</v>
      </c>
      <c r="N208" s="16" t="str">
        <f>IF(M208=0,"0",(O208*M208))</f>
        <v>0</v>
      </c>
      <c r="O208" s="16">
        <f>IF(W208=1,L208,((D208*G208/H208)-P208)/(1-V208)-S208-T208)</f>
        <v>273.3375</v>
      </c>
      <c r="P208" s="16">
        <v>0</v>
      </c>
      <c r="Q208" s="16">
        <f>IF(U208=0,"0",O208*U208)</f>
        <v>91.50039280375803</v>
      </c>
      <c r="R208" s="17">
        <f>IF(U208=0,(((D208*G208/H208)-P208-S208-T208)/(1-V208)),(((D208*G208/H208)-P208-S208-T208)/(1-V208))-((D208*G208/H208)-P208-S208-T208)*U208/(1-V208))</f>
        <v>181.83710719624196</v>
      </c>
      <c r="S208" s="12">
        <v>0</v>
      </c>
      <c r="T208" s="12">
        <v>0</v>
      </c>
      <c r="U208" s="12">
        <v>0.334752431714485</v>
      </c>
      <c r="V208" s="12">
        <v>0</v>
      </c>
      <c r="W208" s="28">
        <f>IF(V208&gt;U208,1,V208)</f>
        <v>0</v>
      </c>
      <c r="X208" s="12">
        <v>1</v>
      </c>
      <c r="Y208" s="16">
        <v>0</v>
      </c>
      <c r="Z208" s="42" t="str">
        <f>IF(OR(W208=1,W208=0),"0",(Q208-N208))</f>
        <v>0</v>
      </c>
      <c r="AA208" s="53" t="s">
        <v>637</v>
      </c>
      <c r="AB208" s="16" t="s">
        <v>638</v>
      </c>
      <c r="AC208" s="16">
        <v>122.76</v>
      </c>
      <c r="AD208" s="16">
        <v>491.09</v>
      </c>
      <c r="AE208" s="16">
        <f>ROUND(AC208*100,0)</f>
        <v>12276</v>
      </c>
      <c r="AF208" s="16">
        <f>ROUND(AD208*100,0)</f>
        <v>49109</v>
      </c>
      <c r="AG208" s="19" t="str">
        <f>IF(AC208=AD208,"TAM",(CONCATENATE(AE208,"/",AF208)))</f>
        <v>12276/49109</v>
      </c>
      <c r="AH208" s="11" t="s">
        <v>50</v>
      </c>
      <c r="AI208" s="21" t="s">
        <v>50</v>
      </c>
      <c r="AJ208" s="77" t="s">
        <v>2429</v>
      </c>
      <c r="AK208" s="54" t="s">
        <v>50</v>
      </c>
      <c r="AL208" s="1" t="s">
        <v>50</v>
      </c>
    </row>
    <row r="209" spans="1:37" ht="17.25" customHeight="1">
      <c r="A209" s="43"/>
      <c r="B209" s="13"/>
      <c r="C209" s="13"/>
      <c r="D209" s="31"/>
      <c r="E209" s="14" t="s">
        <v>50</v>
      </c>
      <c r="F209" s="14"/>
      <c r="G209" s="14"/>
      <c r="H209" s="14"/>
      <c r="I209" s="31"/>
      <c r="J209" s="31"/>
      <c r="K209" s="15"/>
      <c r="L209" s="15"/>
      <c r="M209" s="15"/>
      <c r="N209" s="15"/>
      <c r="O209" s="15"/>
      <c r="P209" s="14"/>
      <c r="Q209" s="14"/>
      <c r="R209" s="14"/>
      <c r="S209" s="14"/>
      <c r="T209" s="14"/>
      <c r="U209" s="14"/>
      <c r="V209" s="14"/>
      <c r="W209" s="14"/>
      <c r="X209" s="14"/>
      <c r="Y209" s="13"/>
      <c r="Z209" s="44"/>
      <c r="AA209" s="43"/>
      <c r="AB209" s="13"/>
      <c r="AC209" s="13"/>
      <c r="AD209" s="13"/>
      <c r="AE209" s="13"/>
      <c r="AF209" s="13"/>
      <c r="AG209" s="13"/>
      <c r="AH209" s="13"/>
      <c r="AI209" s="13"/>
      <c r="AJ209" s="78"/>
      <c r="AK209" s="44"/>
    </row>
    <row r="210" spans="1:38" ht="17.25" customHeight="1">
      <c r="A210" s="41">
        <v>75</v>
      </c>
      <c r="B210" s="10">
        <v>1026</v>
      </c>
      <c r="C210" s="10" t="s">
        <v>639</v>
      </c>
      <c r="D210" s="16">
        <v>1093.35</v>
      </c>
      <c r="E210" s="20" t="s">
        <v>640</v>
      </c>
      <c r="F210" s="20" t="s">
        <v>641</v>
      </c>
      <c r="G210" s="12">
        <v>6</v>
      </c>
      <c r="H210" s="12">
        <v>16</v>
      </c>
      <c r="I210" s="16">
        <f>ROUND(G210,0)</f>
        <v>6</v>
      </c>
      <c r="J210" s="16">
        <f>ROUND(H210,0)</f>
        <v>16</v>
      </c>
      <c r="K210" s="18" t="str">
        <f>IF(I210=J210,"TAM",(CONCATENATE(G210,"/",H210)))</f>
        <v>6/16</v>
      </c>
      <c r="L210" s="29">
        <f>1093.35*6/16</f>
        <v>410.00624999999997</v>
      </c>
      <c r="M210" s="30">
        <v>0</v>
      </c>
      <c r="N210" s="16" t="str">
        <f>IF(M210=0,"0",(O210*M210))</f>
        <v>0</v>
      </c>
      <c r="O210" s="16">
        <f>IF(W210=1,L210,((D210*G210/H210)-P210)/(1-V210)-S210-T210)</f>
        <v>410.00624999999997</v>
      </c>
      <c r="P210" s="16">
        <v>0</v>
      </c>
      <c r="Q210" s="16">
        <f>IF(U210=0,"0",O210*U210)</f>
        <v>137.25058920563706</v>
      </c>
      <c r="R210" s="17">
        <f>IF(U210=0,(((D210*G210/H210)-P210-S210-T210)/(1-V210)),(((D210*G210/H210)-P210-S210-T210)/(1-V210))-((D210*G210/H210)-P210-S210-T210)*U210/(1-V210))</f>
        <v>272.75566079436294</v>
      </c>
      <c r="S210" s="12">
        <v>0</v>
      </c>
      <c r="T210" s="12">
        <v>0</v>
      </c>
      <c r="U210" s="12">
        <v>0.334752431714485</v>
      </c>
      <c r="V210" s="12">
        <v>0</v>
      </c>
      <c r="W210" s="28">
        <f>IF(V210&gt;U210,1,V210)</f>
        <v>0</v>
      </c>
      <c r="X210" s="12">
        <v>1</v>
      </c>
      <c r="Y210" s="16">
        <v>0</v>
      </c>
      <c r="Z210" s="42" t="str">
        <f>IF(OR(W210=1,W210=0),"0",(Q210-N210))</f>
        <v>0</v>
      </c>
      <c r="AA210" s="53" t="s">
        <v>642</v>
      </c>
      <c r="AB210" s="16" t="s">
        <v>643</v>
      </c>
      <c r="AC210" s="16">
        <v>184.16</v>
      </c>
      <c r="AD210" s="16">
        <v>491.09</v>
      </c>
      <c r="AE210" s="16">
        <f>ROUND(AC210*100,0)</f>
        <v>18416</v>
      </c>
      <c r="AF210" s="16">
        <f>ROUND(AD210*100,0)</f>
        <v>49109</v>
      </c>
      <c r="AG210" s="19" t="str">
        <f>IF(AC210=AD210,"TAM",(CONCATENATE(AE210,"/",AF210)))</f>
        <v>18416/49109</v>
      </c>
      <c r="AH210" s="11" t="s">
        <v>50</v>
      </c>
      <c r="AI210" s="21" t="s">
        <v>50</v>
      </c>
      <c r="AJ210" s="77" t="s">
        <v>2429</v>
      </c>
      <c r="AK210" s="54" t="s">
        <v>50</v>
      </c>
      <c r="AL210" s="1" t="s">
        <v>50</v>
      </c>
    </row>
    <row r="211" spans="1:37" ht="17.25" customHeight="1">
      <c r="A211" s="43"/>
      <c r="B211" s="13"/>
      <c r="C211" s="13"/>
      <c r="D211" s="31"/>
      <c r="E211" s="14" t="s">
        <v>50</v>
      </c>
      <c r="F211" s="14"/>
      <c r="G211" s="14"/>
      <c r="H211" s="14"/>
      <c r="I211" s="31"/>
      <c r="J211" s="31"/>
      <c r="K211" s="15"/>
      <c r="L211" s="15"/>
      <c r="M211" s="15"/>
      <c r="N211" s="15"/>
      <c r="O211" s="15"/>
      <c r="P211" s="14"/>
      <c r="Q211" s="14"/>
      <c r="R211" s="14"/>
      <c r="S211" s="14"/>
      <c r="T211" s="14"/>
      <c r="U211" s="14"/>
      <c r="V211" s="14"/>
      <c r="W211" s="14"/>
      <c r="X211" s="14"/>
      <c r="Y211" s="13"/>
      <c r="Z211" s="44"/>
      <c r="AA211" s="43"/>
      <c r="AB211" s="13"/>
      <c r="AC211" s="13"/>
      <c r="AD211" s="13"/>
      <c r="AE211" s="13"/>
      <c r="AF211" s="13"/>
      <c r="AG211" s="13"/>
      <c r="AH211" s="13"/>
      <c r="AI211" s="13"/>
      <c r="AJ211" s="78"/>
      <c r="AK211" s="44"/>
    </row>
    <row r="212" spans="1:38" ht="12.75" customHeight="1">
      <c r="A212" s="41">
        <v>56</v>
      </c>
      <c r="B212" s="10">
        <v>1023</v>
      </c>
      <c r="C212" s="10" t="s">
        <v>644</v>
      </c>
      <c r="D212" s="16">
        <v>4514.69</v>
      </c>
      <c r="E212" s="20" t="s">
        <v>645</v>
      </c>
      <c r="F212" s="20" t="s">
        <v>646</v>
      </c>
      <c r="G212" s="12">
        <v>1</v>
      </c>
      <c r="H212" s="12">
        <v>1</v>
      </c>
      <c r="I212" s="16">
        <f>ROUND(G212,0)</f>
        <v>1</v>
      </c>
      <c r="J212" s="16">
        <f>ROUND(H212,0)</f>
        <v>1</v>
      </c>
      <c r="K212" s="18" t="str">
        <f>IF(I212=J212,"TAM",(CONCATENATE(G212,"/",H212)))</f>
        <v>TAM</v>
      </c>
      <c r="L212" s="29">
        <f>4514.69*1/1</f>
        <v>4514.69</v>
      </c>
      <c r="M212" s="30">
        <v>0</v>
      </c>
      <c r="N212" s="16" t="str">
        <f>IF(M212=0,"0",(O212*M212))</f>
        <v>0</v>
      </c>
      <c r="O212" s="16">
        <f>IF(W212=1,L212,((D212*G212/H212)-P212)/(1-V212)-S212-T212)</f>
        <v>4514.69</v>
      </c>
      <c r="P212" s="16">
        <v>0</v>
      </c>
      <c r="Q212" s="16">
        <f>IF(U212=0,"0",O212*U212)</f>
        <v>1511.303455937068</v>
      </c>
      <c r="R212" s="17">
        <f>IF(U212=0,(((D212*G212/H212)-P212-S212-T212)/(1-V212)),(((D212*G212/H212)-P212-S212-T212)/(1-V212))-((D212*G212/H212)-P212-S212-T212)*U212/(1-V212))</f>
        <v>3003.3865440629315</v>
      </c>
      <c r="S212" s="12">
        <v>0</v>
      </c>
      <c r="T212" s="12">
        <v>0</v>
      </c>
      <c r="U212" s="12">
        <v>0.334752431714485</v>
      </c>
      <c r="V212" s="12">
        <v>0</v>
      </c>
      <c r="W212" s="28">
        <f>IF(V212&gt;U212,1,V212)</f>
        <v>0</v>
      </c>
      <c r="X212" s="12">
        <v>1</v>
      </c>
      <c r="Y212" s="16">
        <v>0</v>
      </c>
      <c r="Z212" s="42" t="str">
        <f>IF(OR(W212=1,W212=0),"0",(Q212-N212))</f>
        <v>0</v>
      </c>
      <c r="AA212" s="53" t="s">
        <v>648</v>
      </c>
      <c r="AB212" s="16" t="s">
        <v>650</v>
      </c>
      <c r="AC212" s="16">
        <v>1866.39</v>
      </c>
      <c r="AD212" s="16">
        <v>1866.39</v>
      </c>
      <c r="AE212" s="16">
        <f>ROUND(AC212*100,0)</f>
        <v>186639</v>
      </c>
      <c r="AF212" s="16">
        <f>ROUND(AD212*100,0)</f>
        <v>186639</v>
      </c>
      <c r="AG212" s="19" t="str">
        <f>IF(AC212=AD212,"TAM",(CONCATENATE(AE212,"/",AF212)))</f>
        <v>TAM</v>
      </c>
      <c r="AH212" s="11" t="s">
        <v>50</v>
      </c>
      <c r="AI212" s="21" t="s">
        <v>50</v>
      </c>
      <c r="AJ212" s="21" t="s">
        <v>649</v>
      </c>
      <c r="AK212" s="54" t="s">
        <v>50</v>
      </c>
      <c r="AL212" s="1" t="s">
        <v>50</v>
      </c>
    </row>
    <row r="213" spans="1:37" ht="110.25" customHeight="1">
      <c r="A213" s="43"/>
      <c r="B213" s="13"/>
      <c r="C213" s="13"/>
      <c r="D213" s="31"/>
      <c r="E213" s="34" t="s">
        <v>647</v>
      </c>
      <c r="F213" s="14"/>
      <c r="G213" s="14"/>
      <c r="H213" s="14"/>
      <c r="I213" s="31"/>
      <c r="J213" s="31"/>
      <c r="K213" s="15"/>
      <c r="L213" s="15"/>
      <c r="M213" s="15"/>
      <c r="N213" s="15"/>
      <c r="O213" s="15"/>
      <c r="P213" s="14"/>
      <c r="Q213" s="14"/>
      <c r="R213" s="14"/>
      <c r="S213" s="14"/>
      <c r="T213" s="14"/>
      <c r="U213" s="14"/>
      <c r="V213" s="14"/>
      <c r="W213" s="14"/>
      <c r="X213" s="14"/>
      <c r="Y213" s="13"/>
      <c r="Z213" s="44"/>
      <c r="AA213" s="43"/>
      <c r="AB213" s="13"/>
      <c r="AC213" s="13"/>
      <c r="AD213" s="13"/>
      <c r="AE213" s="13"/>
      <c r="AF213" s="13"/>
      <c r="AG213" s="13"/>
      <c r="AH213" s="13"/>
      <c r="AI213" s="13"/>
      <c r="AJ213" s="13"/>
      <c r="AK213" s="44"/>
    </row>
    <row r="214" spans="1:38" ht="12.75" customHeight="1">
      <c r="A214" s="41">
        <v>76</v>
      </c>
      <c r="B214" s="10">
        <v>1027</v>
      </c>
      <c r="C214" s="10" t="s">
        <v>651</v>
      </c>
      <c r="D214" s="16">
        <v>923.4</v>
      </c>
      <c r="E214" s="20" t="s">
        <v>652</v>
      </c>
      <c r="F214" s="20" t="s">
        <v>653</v>
      </c>
      <c r="G214" s="12">
        <v>1</v>
      </c>
      <c r="H214" s="12">
        <v>1</v>
      </c>
      <c r="I214" s="16">
        <f>ROUND(G214,0)</f>
        <v>1</v>
      </c>
      <c r="J214" s="16">
        <f>ROUND(H214,0)</f>
        <v>1</v>
      </c>
      <c r="K214" s="18" t="str">
        <f>IF(I214=J214,"TAM",(CONCATENATE(G214,"/",H214)))</f>
        <v>TAM</v>
      </c>
      <c r="L214" s="29">
        <f>923.4*1/1</f>
        <v>923.4</v>
      </c>
      <c r="M214" s="30">
        <v>0</v>
      </c>
      <c r="N214" s="16" t="str">
        <f>IF(M214=0,"0",(O214*M214))</f>
        <v>0</v>
      </c>
      <c r="O214" s="16">
        <f>IF(W214=1,L214,((D214*G214/H214)-P214)/(1-V214)-S214-T214)</f>
        <v>923.4</v>
      </c>
      <c r="P214" s="16">
        <v>0</v>
      </c>
      <c r="Q214" s="16">
        <f>IF(U214=0,"0",O214*U214)</f>
        <v>309.1103954451554</v>
      </c>
      <c r="R214" s="17">
        <f>IF(U214=0,(((D214*G214/H214)-P214-S214-T214)/(1-V214)),(((D214*G214/H214)-P214-S214-T214)/(1-V214))-((D214*G214/H214)-P214-S214-T214)*U214/(1-V214))</f>
        <v>614.2896045548446</v>
      </c>
      <c r="S214" s="12">
        <v>0</v>
      </c>
      <c r="T214" s="12">
        <v>0</v>
      </c>
      <c r="U214" s="12">
        <v>0.334752431714485</v>
      </c>
      <c r="V214" s="12">
        <v>0</v>
      </c>
      <c r="W214" s="28">
        <f>IF(V214&gt;U214,1,V214)</f>
        <v>0</v>
      </c>
      <c r="X214" s="12">
        <v>1</v>
      </c>
      <c r="Y214" s="16">
        <v>0</v>
      </c>
      <c r="Z214" s="42" t="str">
        <f>IF(OR(W214=1,W214=0),"0",(Q214-N214))</f>
        <v>0</v>
      </c>
      <c r="AA214" s="53" t="s">
        <v>654</v>
      </c>
      <c r="AB214" s="16" t="s">
        <v>656</v>
      </c>
      <c r="AC214" s="16">
        <v>614.29</v>
      </c>
      <c r="AD214" s="16">
        <v>614.29</v>
      </c>
      <c r="AE214" s="16">
        <f>ROUND(AC214*100,0)</f>
        <v>61429</v>
      </c>
      <c r="AF214" s="16">
        <f>ROUND(AD214*100,0)</f>
        <v>61429</v>
      </c>
      <c r="AG214" s="19" t="str">
        <f>IF(AC214=AD214,"TAM",(CONCATENATE(AE214,"/",AF214)))</f>
        <v>TAM</v>
      </c>
      <c r="AH214" s="11" t="s">
        <v>50</v>
      </c>
      <c r="AI214" s="21" t="s">
        <v>50</v>
      </c>
      <c r="AJ214" s="21" t="s">
        <v>655</v>
      </c>
      <c r="AK214" s="54" t="s">
        <v>50</v>
      </c>
      <c r="AL214" s="1" t="s">
        <v>50</v>
      </c>
    </row>
    <row r="215" spans="1:37" ht="12.75" customHeight="1">
      <c r="A215" s="43"/>
      <c r="B215" s="13"/>
      <c r="C215" s="13"/>
      <c r="D215" s="31"/>
      <c r="E215" s="14" t="s">
        <v>50</v>
      </c>
      <c r="F215" s="14"/>
      <c r="G215" s="14"/>
      <c r="H215" s="14"/>
      <c r="I215" s="31"/>
      <c r="J215" s="31"/>
      <c r="K215" s="15"/>
      <c r="L215" s="15"/>
      <c r="M215" s="15"/>
      <c r="N215" s="15"/>
      <c r="O215" s="15"/>
      <c r="P215" s="14"/>
      <c r="Q215" s="14"/>
      <c r="R215" s="14"/>
      <c r="S215" s="14"/>
      <c r="T215" s="14"/>
      <c r="U215" s="14"/>
      <c r="V215" s="14"/>
      <c r="W215" s="14"/>
      <c r="X215" s="14"/>
      <c r="Y215" s="13"/>
      <c r="Z215" s="44"/>
      <c r="AA215" s="43"/>
      <c r="AB215" s="13"/>
      <c r="AC215" s="13"/>
      <c r="AD215" s="13"/>
      <c r="AE215" s="13"/>
      <c r="AF215" s="13"/>
      <c r="AG215" s="13"/>
      <c r="AH215" s="13"/>
      <c r="AI215" s="13"/>
      <c r="AJ215" s="13"/>
      <c r="AK215" s="44"/>
    </row>
    <row r="216" spans="1:38" ht="12.75" customHeight="1">
      <c r="A216" s="41">
        <v>74</v>
      </c>
      <c r="B216" s="10">
        <v>1026</v>
      </c>
      <c r="C216" s="10" t="s">
        <v>657</v>
      </c>
      <c r="D216" s="16">
        <v>1093.35</v>
      </c>
      <c r="E216" s="20" t="s">
        <v>658</v>
      </c>
      <c r="F216" s="20" t="s">
        <v>659</v>
      </c>
      <c r="G216" s="12">
        <v>6</v>
      </c>
      <c r="H216" s="12">
        <v>16</v>
      </c>
      <c r="I216" s="16">
        <f>ROUND(G216,0)</f>
        <v>6</v>
      </c>
      <c r="J216" s="16">
        <f>ROUND(H216,0)</f>
        <v>16</v>
      </c>
      <c r="K216" s="18" t="str">
        <f>IF(I216=J216,"TAM",(CONCATENATE(G216,"/",H216)))</f>
        <v>6/16</v>
      </c>
      <c r="L216" s="29">
        <f>1093.35*6/16</f>
        <v>410.00624999999997</v>
      </c>
      <c r="M216" s="30">
        <v>0</v>
      </c>
      <c r="N216" s="16" t="str">
        <f>IF(M216=0,"0",(O216*M216))</f>
        <v>0</v>
      </c>
      <c r="O216" s="16">
        <f>IF(W216=1,L216,((D216*G216/H216)-P216)/(1-V216)-S216-T216)</f>
        <v>410.00624999999997</v>
      </c>
      <c r="P216" s="16">
        <v>0</v>
      </c>
      <c r="Q216" s="16">
        <f>IF(U216=0,"0",O216*U216)</f>
        <v>137.25058920563706</v>
      </c>
      <c r="R216" s="17">
        <f>IF(U216=0,(((D216*G216/H216)-P216-S216-T216)/(1-V216)),(((D216*G216/H216)-P216-S216-T216)/(1-V216))-((D216*G216/H216)-P216-S216-T216)*U216/(1-V216))</f>
        <v>272.75566079436294</v>
      </c>
      <c r="S216" s="12">
        <v>0</v>
      </c>
      <c r="T216" s="12">
        <v>0</v>
      </c>
      <c r="U216" s="12">
        <v>0.334752431714485</v>
      </c>
      <c r="V216" s="12">
        <v>0</v>
      </c>
      <c r="W216" s="28">
        <f>IF(V216&gt;U216,1,V216)</f>
        <v>0</v>
      </c>
      <c r="X216" s="12">
        <v>1</v>
      </c>
      <c r="Y216" s="16">
        <v>0</v>
      </c>
      <c r="Z216" s="42" t="str">
        <f>IF(OR(W216=1,W216=0),"0",(Q216-N216))</f>
        <v>0</v>
      </c>
      <c r="AA216" s="53" t="s">
        <v>660</v>
      </c>
      <c r="AB216" s="16" t="s">
        <v>662</v>
      </c>
      <c r="AC216" s="16">
        <v>88.59</v>
      </c>
      <c r="AD216" s="16">
        <v>645.81</v>
      </c>
      <c r="AE216" s="16">
        <f>ROUND(AC216*100,0)</f>
        <v>8859</v>
      </c>
      <c r="AF216" s="16">
        <f>ROUND(AD216*100,0)</f>
        <v>64581</v>
      </c>
      <c r="AG216" s="19" t="str">
        <f>IF(AC216=AD216,"TAM",(CONCATENATE(AE216,"/",AF216)))</f>
        <v>8859/64581</v>
      </c>
      <c r="AH216" s="11" t="s">
        <v>50</v>
      </c>
      <c r="AI216" s="21" t="s">
        <v>50</v>
      </c>
      <c r="AJ216" s="21" t="s">
        <v>661</v>
      </c>
      <c r="AK216" s="54" t="s">
        <v>50</v>
      </c>
      <c r="AL216" s="1" t="s">
        <v>50</v>
      </c>
    </row>
    <row r="217" spans="1:37" ht="12.75" customHeight="1">
      <c r="A217" s="43"/>
      <c r="B217" s="13"/>
      <c r="C217" s="13"/>
      <c r="D217" s="31"/>
      <c r="E217" s="14" t="s">
        <v>50</v>
      </c>
      <c r="F217" s="14"/>
      <c r="G217" s="14"/>
      <c r="H217" s="14"/>
      <c r="I217" s="31"/>
      <c r="J217" s="31"/>
      <c r="K217" s="15"/>
      <c r="L217" s="15"/>
      <c r="M217" s="15"/>
      <c r="N217" s="15"/>
      <c r="O217" s="15"/>
      <c r="P217" s="14"/>
      <c r="Q217" s="14"/>
      <c r="R217" s="14"/>
      <c r="S217" s="14"/>
      <c r="T217" s="14"/>
      <c r="U217" s="14"/>
      <c r="V217" s="14"/>
      <c r="W217" s="14"/>
      <c r="X217" s="14"/>
      <c r="Y217" s="13"/>
      <c r="Z217" s="44"/>
      <c r="AA217" s="43"/>
      <c r="AB217" s="13"/>
      <c r="AC217" s="13"/>
      <c r="AD217" s="13"/>
      <c r="AE217" s="13"/>
      <c r="AF217" s="13"/>
      <c r="AG217" s="13"/>
      <c r="AH217" s="13"/>
      <c r="AI217" s="13"/>
      <c r="AJ217" s="13"/>
      <c r="AK217" s="44"/>
    </row>
    <row r="218" spans="1:38" ht="12.75" customHeight="1">
      <c r="A218" s="41">
        <v>73</v>
      </c>
      <c r="B218" s="10">
        <v>1026</v>
      </c>
      <c r="C218" s="10" t="s">
        <v>663</v>
      </c>
      <c r="D218" s="16">
        <v>1093.35</v>
      </c>
      <c r="E218" s="20" t="s">
        <v>664</v>
      </c>
      <c r="F218" s="20" t="s">
        <v>665</v>
      </c>
      <c r="G218" s="12">
        <v>4</v>
      </c>
      <c r="H218" s="12">
        <v>16</v>
      </c>
      <c r="I218" s="16">
        <f>ROUND(G218,0)</f>
        <v>4</v>
      </c>
      <c r="J218" s="16">
        <f>ROUND(H218,0)</f>
        <v>16</v>
      </c>
      <c r="K218" s="18" t="str">
        <f>IF(I218=J218,"TAM",(CONCATENATE(G218,"/",H218)))</f>
        <v>4/16</v>
      </c>
      <c r="L218" s="29">
        <f>1093.35*4/16</f>
        <v>273.3375</v>
      </c>
      <c r="M218" s="30">
        <v>0</v>
      </c>
      <c r="N218" s="16" t="str">
        <f>IF(M218=0,"0",(O218*M218))</f>
        <v>0</v>
      </c>
      <c r="O218" s="16">
        <f>IF(W218=1,L218,((D218*G218/H218)-P218)/(1-V218)-S218-T218)</f>
        <v>273.3375</v>
      </c>
      <c r="P218" s="16">
        <v>0</v>
      </c>
      <c r="Q218" s="16">
        <f>IF(U218=0,"0",O218*U218)</f>
        <v>91.50039280375803</v>
      </c>
      <c r="R218" s="17">
        <f>IF(U218=0,(((D218*G218/H218)-P218-S218-T218)/(1-V218)),(((D218*G218/H218)-P218-S218-T218)/(1-V218))-((D218*G218/H218)-P218-S218-T218)*U218/(1-V218))</f>
        <v>181.83710719624196</v>
      </c>
      <c r="S218" s="12">
        <v>0</v>
      </c>
      <c r="T218" s="12">
        <v>0</v>
      </c>
      <c r="U218" s="12">
        <v>0.334752431714485</v>
      </c>
      <c r="V218" s="12">
        <v>0</v>
      </c>
      <c r="W218" s="28">
        <f>IF(V218&gt;U218,1,V218)</f>
        <v>0</v>
      </c>
      <c r="X218" s="12">
        <v>1</v>
      </c>
      <c r="Y218" s="16">
        <v>0</v>
      </c>
      <c r="Z218" s="42" t="str">
        <f>IF(OR(W218=1,W218=0),"0",(Q218-N218))</f>
        <v>0</v>
      </c>
      <c r="AA218" s="53" t="s">
        <v>666</v>
      </c>
      <c r="AB218" s="16" t="s">
        <v>668</v>
      </c>
      <c r="AC218" s="16">
        <v>59.08</v>
      </c>
      <c r="AD218" s="16">
        <v>645.81</v>
      </c>
      <c r="AE218" s="16">
        <f>ROUND(AC218*100,0)</f>
        <v>5908</v>
      </c>
      <c r="AF218" s="16">
        <f>ROUND(AD218*100,0)</f>
        <v>64581</v>
      </c>
      <c r="AG218" s="19" t="str">
        <f>IF(AC218=AD218,"TAM",(CONCATENATE(AE218,"/",AF218)))</f>
        <v>5908/64581</v>
      </c>
      <c r="AH218" s="11" t="s">
        <v>50</v>
      </c>
      <c r="AI218" s="21" t="s">
        <v>50</v>
      </c>
      <c r="AJ218" s="21" t="s">
        <v>667</v>
      </c>
      <c r="AK218" s="54" t="s">
        <v>50</v>
      </c>
      <c r="AL218" s="1" t="s">
        <v>50</v>
      </c>
    </row>
    <row r="219" spans="1:37" ht="12.75" customHeight="1">
      <c r="A219" s="43"/>
      <c r="B219" s="13"/>
      <c r="C219" s="13"/>
      <c r="D219" s="31"/>
      <c r="E219" s="14" t="s">
        <v>50</v>
      </c>
      <c r="F219" s="14"/>
      <c r="G219" s="14"/>
      <c r="H219" s="14"/>
      <c r="I219" s="31"/>
      <c r="J219" s="31"/>
      <c r="K219" s="15"/>
      <c r="L219" s="15"/>
      <c r="M219" s="15"/>
      <c r="N219" s="15"/>
      <c r="O219" s="15"/>
      <c r="P219" s="14"/>
      <c r="Q219" s="14"/>
      <c r="R219" s="14"/>
      <c r="S219" s="14"/>
      <c r="T219" s="14"/>
      <c r="U219" s="14"/>
      <c r="V219" s="14"/>
      <c r="W219" s="14"/>
      <c r="X219" s="14"/>
      <c r="Y219" s="13"/>
      <c r="Z219" s="44"/>
      <c r="AA219" s="43"/>
      <c r="AB219" s="13"/>
      <c r="AC219" s="13"/>
      <c r="AD219" s="13"/>
      <c r="AE219" s="13"/>
      <c r="AF219" s="13"/>
      <c r="AG219" s="13"/>
      <c r="AH219" s="13"/>
      <c r="AI219" s="13"/>
      <c r="AJ219" s="13"/>
      <c r="AK219" s="44"/>
    </row>
    <row r="220" spans="1:38" ht="12.75" customHeight="1">
      <c r="A220" s="41">
        <v>75</v>
      </c>
      <c r="B220" s="10">
        <v>1026</v>
      </c>
      <c r="C220" s="10" t="s">
        <v>669</v>
      </c>
      <c r="D220" s="16">
        <v>1093.35</v>
      </c>
      <c r="E220" s="20" t="s">
        <v>670</v>
      </c>
      <c r="F220" s="20" t="s">
        <v>671</v>
      </c>
      <c r="G220" s="12">
        <v>6</v>
      </c>
      <c r="H220" s="12">
        <v>16</v>
      </c>
      <c r="I220" s="16">
        <f>ROUND(G220,0)</f>
        <v>6</v>
      </c>
      <c r="J220" s="16">
        <f>ROUND(H220,0)</f>
        <v>16</v>
      </c>
      <c r="K220" s="18" t="str">
        <f>IF(I220=J220,"TAM",(CONCATENATE(G220,"/",H220)))</f>
        <v>6/16</v>
      </c>
      <c r="L220" s="29">
        <f>1093.35*6/16</f>
        <v>410.00624999999997</v>
      </c>
      <c r="M220" s="30">
        <v>0</v>
      </c>
      <c r="N220" s="16" t="str">
        <f>IF(M220=0,"0",(O220*M220))</f>
        <v>0</v>
      </c>
      <c r="O220" s="16">
        <f>IF(W220=1,L220,((D220*G220/H220)-P220)/(1-V220)-S220-T220)</f>
        <v>410.00624999999997</v>
      </c>
      <c r="P220" s="16">
        <v>0</v>
      </c>
      <c r="Q220" s="16">
        <f>IF(U220=0,"0",O220*U220)</f>
        <v>137.25058920563706</v>
      </c>
      <c r="R220" s="17">
        <f>IF(U220=0,(((D220*G220/H220)-P220-S220-T220)/(1-V220)),(((D220*G220/H220)-P220-S220-T220)/(1-V220))-((D220*G220/H220)-P220-S220-T220)*U220/(1-V220))</f>
        <v>272.75566079436294</v>
      </c>
      <c r="S220" s="12">
        <v>0</v>
      </c>
      <c r="T220" s="12">
        <v>0</v>
      </c>
      <c r="U220" s="12">
        <v>0.334752431714485</v>
      </c>
      <c r="V220" s="12">
        <v>0</v>
      </c>
      <c r="W220" s="28">
        <f>IF(V220&gt;U220,1,V220)</f>
        <v>0</v>
      </c>
      <c r="X220" s="12">
        <v>1</v>
      </c>
      <c r="Y220" s="16">
        <v>0</v>
      </c>
      <c r="Z220" s="42" t="str">
        <f>IF(OR(W220=1,W220=0),"0",(Q220-N220))</f>
        <v>0</v>
      </c>
      <c r="AA220" s="53" t="s">
        <v>672</v>
      </c>
      <c r="AB220" s="16" t="s">
        <v>674</v>
      </c>
      <c r="AC220" s="16">
        <v>88.59</v>
      </c>
      <c r="AD220" s="16">
        <v>645.81</v>
      </c>
      <c r="AE220" s="16">
        <f>ROUND(AC220*100,0)</f>
        <v>8859</v>
      </c>
      <c r="AF220" s="16">
        <f>ROUND(AD220*100,0)</f>
        <v>64581</v>
      </c>
      <c r="AG220" s="19" t="str">
        <f>IF(AC220=AD220,"TAM",(CONCATENATE(AE220,"/",AF220)))</f>
        <v>8859/64581</v>
      </c>
      <c r="AH220" s="11" t="s">
        <v>50</v>
      </c>
      <c r="AI220" s="21" t="s">
        <v>50</v>
      </c>
      <c r="AJ220" s="21" t="s">
        <v>673</v>
      </c>
      <c r="AK220" s="54" t="s">
        <v>50</v>
      </c>
      <c r="AL220" s="1" t="s">
        <v>50</v>
      </c>
    </row>
    <row r="221" spans="1:37" ht="12.75" customHeight="1">
      <c r="A221" s="43"/>
      <c r="B221" s="13"/>
      <c r="C221" s="13"/>
      <c r="D221" s="31"/>
      <c r="E221" s="14" t="s">
        <v>50</v>
      </c>
      <c r="F221" s="14"/>
      <c r="G221" s="14"/>
      <c r="H221" s="14"/>
      <c r="I221" s="31"/>
      <c r="J221" s="31"/>
      <c r="K221" s="15"/>
      <c r="L221" s="15"/>
      <c r="M221" s="15"/>
      <c r="N221" s="15"/>
      <c r="O221" s="15"/>
      <c r="P221" s="14"/>
      <c r="Q221" s="14"/>
      <c r="R221" s="14"/>
      <c r="S221" s="14"/>
      <c r="T221" s="14"/>
      <c r="U221" s="14"/>
      <c r="V221" s="14"/>
      <c r="W221" s="14"/>
      <c r="X221" s="14"/>
      <c r="Y221" s="13"/>
      <c r="Z221" s="44"/>
      <c r="AA221" s="43"/>
      <c r="AB221" s="13"/>
      <c r="AC221" s="13"/>
      <c r="AD221" s="13"/>
      <c r="AE221" s="13"/>
      <c r="AF221" s="13"/>
      <c r="AG221" s="13"/>
      <c r="AH221" s="13"/>
      <c r="AI221" s="13"/>
      <c r="AJ221" s="13"/>
      <c r="AK221" s="44"/>
    </row>
    <row r="222" spans="1:38" ht="12.75" customHeight="1">
      <c r="A222" s="41">
        <v>77</v>
      </c>
      <c r="B222" s="10">
        <v>1028</v>
      </c>
      <c r="C222" s="10" t="s">
        <v>675</v>
      </c>
      <c r="D222" s="16">
        <v>370.08</v>
      </c>
      <c r="E222" s="20" t="s">
        <v>676</v>
      </c>
      <c r="F222" s="20" t="s">
        <v>677</v>
      </c>
      <c r="G222" s="12">
        <v>1</v>
      </c>
      <c r="H222" s="12">
        <v>1</v>
      </c>
      <c r="I222" s="16">
        <f>ROUND(G222,0)</f>
        <v>1</v>
      </c>
      <c r="J222" s="16">
        <f>ROUND(H222,0)</f>
        <v>1</v>
      </c>
      <c r="K222" s="18" t="str">
        <f>IF(I222=J222,"TAM",(CONCATENATE(G222,"/",H222)))</f>
        <v>TAM</v>
      </c>
      <c r="L222" s="29">
        <f>370.08*1/1</f>
        <v>370.08</v>
      </c>
      <c r="M222" s="30">
        <v>0</v>
      </c>
      <c r="N222" s="16" t="str">
        <f>IF(M222=0,"0",(O222*M222))</f>
        <v>0</v>
      </c>
      <c r="O222" s="16">
        <f>IF(W222=1,L222,((D222*G222/H222)-P222)/(1-V222)-S222-T222)</f>
        <v>370.08</v>
      </c>
      <c r="P222" s="16">
        <v>0</v>
      </c>
      <c r="Q222" s="16">
        <f>IF(U222=0,"0",O222*U222)</f>
        <v>123.8851799288966</v>
      </c>
      <c r="R222" s="17">
        <f>IF(U222=0,(((D222*G222/H222)-P222-S222-T222)/(1-V222)),(((D222*G222/H222)-P222-S222-T222)/(1-V222))-((D222*G222/H222)-P222-S222-T222)*U222/(1-V222))</f>
        <v>246.19482007110338</v>
      </c>
      <c r="S222" s="12">
        <v>0</v>
      </c>
      <c r="T222" s="12">
        <v>0</v>
      </c>
      <c r="U222" s="12">
        <v>0.334752431714485</v>
      </c>
      <c r="V222" s="12">
        <v>0</v>
      </c>
      <c r="W222" s="28">
        <f>IF(V222&gt;U222,1,V222)</f>
        <v>0</v>
      </c>
      <c r="X222" s="12">
        <v>1</v>
      </c>
      <c r="Y222" s="16">
        <v>0</v>
      </c>
      <c r="Z222" s="42" t="str">
        <f>IF(OR(W222=1,W222=0),"0",(Q222-N222))</f>
        <v>0</v>
      </c>
      <c r="AA222" s="53" t="s">
        <v>678</v>
      </c>
      <c r="AB222" s="16" t="s">
        <v>680</v>
      </c>
      <c r="AC222" s="16">
        <v>246.19</v>
      </c>
      <c r="AD222" s="16">
        <v>645.81</v>
      </c>
      <c r="AE222" s="16">
        <f>ROUND(AC222*100,0)</f>
        <v>24619</v>
      </c>
      <c r="AF222" s="16">
        <f>ROUND(AD222*100,0)</f>
        <v>64581</v>
      </c>
      <c r="AG222" s="19" t="str">
        <f>IF(AC222=AD222,"TAM",(CONCATENATE(AE222,"/",AF222)))</f>
        <v>24619/64581</v>
      </c>
      <c r="AH222" s="11" t="s">
        <v>50</v>
      </c>
      <c r="AI222" s="21" t="s">
        <v>50</v>
      </c>
      <c r="AJ222" s="21" t="s">
        <v>679</v>
      </c>
      <c r="AK222" s="54" t="s">
        <v>50</v>
      </c>
      <c r="AL222" s="1" t="s">
        <v>50</v>
      </c>
    </row>
    <row r="223" spans="1:37" ht="12.75" customHeight="1">
      <c r="A223" s="43"/>
      <c r="B223" s="13"/>
      <c r="C223" s="13"/>
      <c r="D223" s="31"/>
      <c r="E223" s="14" t="s">
        <v>50</v>
      </c>
      <c r="F223" s="14"/>
      <c r="G223" s="14"/>
      <c r="H223" s="14"/>
      <c r="I223" s="31"/>
      <c r="J223" s="31"/>
      <c r="K223" s="15"/>
      <c r="L223" s="15"/>
      <c r="M223" s="15"/>
      <c r="N223" s="15"/>
      <c r="O223" s="15"/>
      <c r="P223" s="14"/>
      <c r="Q223" s="14"/>
      <c r="R223" s="14"/>
      <c r="S223" s="14"/>
      <c r="T223" s="14"/>
      <c r="U223" s="14"/>
      <c r="V223" s="14"/>
      <c r="W223" s="14"/>
      <c r="X223" s="14"/>
      <c r="Y223" s="13"/>
      <c r="Z223" s="44"/>
      <c r="AA223" s="43"/>
      <c r="AB223" s="13"/>
      <c r="AC223" s="13"/>
      <c r="AD223" s="13"/>
      <c r="AE223" s="13"/>
      <c r="AF223" s="13"/>
      <c r="AG223" s="13"/>
      <c r="AH223" s="13"/>
      <c r="AI223" s="13"/>
      <c r="AJ223" s="13"/>
      <c r="AK223" s="44"/>
    </row>
    <row r="224" spans="1:38" ht="12.75" customHeight="1">
      <c r="A224" s="41">
        <v>78</v>
      </c>
      <c r="B224" s="10">
        <v>1029</v>
      </c>
      <c r="C224" s="10" t="s">
        <v>681</v>
      </c>
      <c r="D224" s="16">
        <v>245.57</v>
      </c>
      <c r="E224" s="20" t="s">
        <v>682</v>
      </c>
      <c r="F224" s="20" t="s">
        <v>683</v>
      </c>
      <c r="G224" s="12">
        <v>1</v>
      </c>
      <c r="H224" s="12">
        <v>1</v>
      </c>
      <c r="I224" s="16">
        <f>ROUND(G224,0)</f>
        <v>1</v>
      </c>
      <c r="J224" s="16">
        <f>ROUND(H224,0)</f>
        <v>1</v>
      </c>
      <c r="K224" s="18" t="str">
        <f>IF(I224=J224,"TAM",(CONCATENATE(G224,"/",H224)))</f>
        <v>TAM</v>
      </c>
      <c r="L224" s="29">
        <f>245.57*1/1</f>
        <v>245.57</v>
      </c>
      <c r="M224" s="30">
        <v>0</v>
      </c>
      <c r="N224" s="16" t="str">
        <f>IF(M224=0,"0",(O224*M224))</f>
        <v>0</v>
      </c>
      <c r="O224" s="16">
        <f>IF(W224=1,L224,((D224*G224/H224)-P224)/(1-V224)-S224-T224)</f>
        <v>245.57</v>
      </c>
      <c r="P224" s="16">
        <v>0</v>
      </c>
      <c r="Q224" s="16">
        <f>IF(U224=0,"0",O224*U224)</f>
        <v>82.20515465612607</v>
      </c>
      <c r="R224" s="17">
        <f>IF(U224=0,(((D224*G224/H224)-P224-S224-T224)/(1-V224)),(((D224*G224/H224)-P224-S224-T224)/(1-V224))-((D224*G224/H224)-P224-S224-T224)*U224/(1-V224))</f>
        <v>163.36484534387392</v>
      </c>
      <c r="S224" s="12">
        <v>0</v>
      </c>
      <c r="T224" s="12">
        <v>0</v>
      </c>
      <c r="U224" s="12">
        <v>0.334752431714485</v>
      </c>
      <c r="V224" s="12">
        <v>0</v>
      </c>
      <c r="W224" s="28">
        <f>IF(V224&gt;U224,1,V224)</f>
        <v>0</v>
      </c>
      <c r="X224" s="12">
        <v>1</v>
      </c>
      <c r="Y224" s="16">
        <v>0</v>
      </c>
      <c r="Z224" s="42" t="str">
        <f>IF(OR(W224=1,W224=0),"0",(Q224-N224))</f>
        <v>0</v>
      </c>
      <c r="AA224" s="53" t="s">
        <v>685</v>
      </c>
      <c r="AB224" s="16" t="s">
        <v>687</v>
      </c>
      <c r="AC224" s="16">
        <v>163.36</v>
      </c>
      <c r="AD224" s="16">
        <v>645.81</v>
      </c>
      <c r="AE224" s="16">
        <f>ROUND(AC224*100,0)</f>
        <v>16336</v>
      </c>
      <c r="AF224" s="16">
        <f>ROUND(AD224*100,0)</f>
        <v>64581</v>
      </c>
      <c r="AG224" s="19" t="str">
        <f>IF(AC224=AD224,"TAM",(CONCATENATE(AE224,"/",AF224)))</f>
        <v>16336/64581</v>
      </c>
      <c r="AH224" s="11" t="s">
        <v>50</v>
      </c>
      <c r="AI224" s="21" t="s">
        <v>50</v>
      </c>
      <c r="AJ224" s="21" t="s">
        <v>686</v>
      </c>
      <c r="AK224" s="54" t="s">
        <v>50</v>
      </c>
      <c r="AL224" s="1" t="s">
        <v>50</v>
      </c>
    </row>
    <row r="225" spans="1:37" ht="62.25" customHeight="1">
      <c r="A225" s="43"/>
      <c r="B225" s="13"/>
      <c r="C225" s="13"/>
      <c r="D225" s="31"/>
      <c r="E225" s="34" t="s">
        <v>684</v>
      </c>
      <c r="F225" s="14"/>
      <c r="G225" s="14"/>
      <c r="H225" s="14"/>
      <c r="I225" s="31"/>
      <c r="J225" s="31"/>
      <c r="K225" s="15"/>
      <c r="L225" s="15"/>
      <c r="M225" s="15"/>
      <c r="N225" s="15"/>
      <c r="O225" s="15"/>
      <c r="P225" s="14"/>
      <c r="Q225" s="14"/>
      <c r="R225" s="14"/>
      <c r="S225" s="14"/>
      <c r="T225" s="14"/>
      <c r="U225" s="14"/>
      <c r="V225" s="14"/>
      <c r="W225" s="14"/>
      <c r="X225" s="14"/>
      <c r="Y225" s="13"/>
      <c r="Z225" s="44"/>
      <c r="AA225" s="43"/>
      <c r="AB225" s="13"/>
      <c r="AC225" s="13"/>
      <c r="AD225" s="13"/>
      <c r="AE225" s="13"/>
      <c r="AF225" s="13"/>
      <c r="AG225" s="13"/>
      <c r="AH225" s="13"/>
      <c r="AI225" s="13"/>
      <c r="AJ225" s="13"/>
      <c r="AK225" s="44"/>
    </row>
    <row r="226" spans="1:38" ht="12.75" customHeight="1">
      <c r="A226" s="41">
        <v>85</v>
      </c>
      <c r="B226" s="10">
        <v>1030</v>
      </c>
      <c r="C226" s="10" t="s">
        <v>688</v>
      </c>
      <c r="D226" s="16">
        <v>1835.55</v>
      </c>
      <c r="E226" s="20" t="s">
        <v>689</v>
      </c>
      <c r="F226" s="20" t="s">
        <v>690</v>
      </c>
      <c r="G226" s="12">
        <v>1</v>
      </c>
      <c r="H226" s="12">
        <v>1</v>
      </c>
      <c r="I226" s="16">
        <f>ROUND(G226,0)</f>
        <v>1</v>
      </c>
      <c r="J226" s="16">
        <f>ROUND(H226,0)</f>
        <v>1</v>
      </c>
      <c r="K226" s="18" t="str">
        <f>IF(I226=J226,"TAM",(CONCATENATE(G226,"/",H226)))</f>
        <v>TAM</v>
      </c>
      <c r="L226" s="29">
        <f>1835.55*1/1</f>
        <v>1835.55</v>
      </c>
      <c r="M226" s="30">
        <v>0</v>
      </c>
      <c r="N226" s="16" t="str">
        <f>IF(M226=0,"0",(O226*M226))</f>
        <v>0</v>
      </c>
      <c r="O226" s="16">
        <f>IF(W226=1,L226,((D226*G226/H226)-P226)/(1-V226)-S226-T226)</f>
        <v>1835.55</v>
      </c>
      <c r="P226" s="16">
        <v>0</v>
      </c>
      <c r="Q226" s="16">
        <f>IF(U226=0,"0",O226*U226)</f>
        <v>614.4548260335229</v>
      </c>
      <c r="R226" s="17">
        <f>IF(U226=0,(((D226*G226/H226)-P226-S226-T226)/(1-V226)),(((D226*G226/H226)-P226-S226-T226)/(1-V226))-((D226*G226/H226)-P226-S226-T226)*U226/(1-V226))</f>
        <v>1221.095173966477</v>
      </c>
      <c r="S226" s="12">
        <v>0</v>
      </c>
      <c r="T226" s="12">
        <v>0</v>
      </c>
      <c r="U226" s="12">
        <v>0.334752431714485</v>
      </c>
      <c r="V226" s="12">
        <v>0</v>
      </c>
      <c r="W226" s="28">
        <f>IF(V226&gt;U226,1,V226)</f>
        <v>0</v>
      </c>
      <c r="X226" s="12">
        <v>1</v>
      </c>
      <c r="Y226" s="16">
        <v>0</v>
      </c>
      <c r="Z226" s="42" t="str">
        <f>IF(OR(W226=1,W226=0),"0",(Q226-N226))</f>
        <v>0</v>
      </c>
      <c r="AA226" s="53" t="s">
        <v>691</v>
      </c>
      <c r="AB226" s="16" t="s">
        <v>693</v>
      </c>
      <c r="AC226" s="16">
        <v>405.46</v>
      </c>
      <c r="AD226" s="16">
        <v>405.46</v>
      </c>
      <c r="AE226" s="16">
        <f>ROUND(AC226*100,0)</f>
        <v>40546</v>
      </c>
      <c r="AF226" s="16">
        <f>ROUND(AD226*100,0)</f>
        <v>40546</v>
      </c>
      <c r="AG226" s="19" t="str">
        <f>IF(AC226=AD226,"TAM",(CONCATENATE(AE226,"/",AF226)))</f>
        <v>TAM</v>
      </c>
      <c r="AH226" s="11" t="s">
        <v>50</v>
      </c>
      <c r="AI226" s="21" t="s">
        <v>50</v>
      </c>
      <c r="AJ226" s="21" t="s">
        <v>692</v>
      </c>
      <c r="AK226" s="54" t="s">
        <v>50</v>
      </c>
      <c r="AL226" s="1" t="s">
        <v>50</v>
      </c>
    </row>
    <row r="227" spans="1:37" ht="12.75" customHeight="1">
      <c r="A227" s="43"/>
      <c r="B227" s="13"/>
      <c r="C227" s="13"/>
      <c r="D227" s="31"/>
      <c r="E227" s="14" t="s">
        <v>50</v>
      </c>
      <c r="F227" s="14"/>
      <c r="G227" s="14"/>
      <c r="H227" s="14"/>
      <c r="I227" s="31"/>
      <c r="J227" s="31"/>
      <c r="K227" s="15"/>
      <c r="L227" s="15"/>
      <c r="M227" s="15"/>
      <c r="N227" s="15"/>
      <c r="O227" s="15"/>
      <c r="P227" s="14"/>
      <c r="Q227" s="14"/>
      <c r="R227" s="14"/>
      <c r="S227" s="14"/>
      <c r="T227" s="14"/>
      <c r="U227" s="14"/>
      <c r="V227" s="14"/>
      <c r="W227" s="14"/>
      <c r="X227" s="14"/>
      <c r="Y227" s="13"/>
      <c r="Z227" s="44"/>
      <c r="AA227" s="43"/>
      <c r="AB227" s="13"/>
      <c r="AC227" s="13"/>
      <c r="AD227" s="13"/>
      <c r="AE227" s="13"/>
      <c r="AF227" s="13"/>
      <c r="AG227" s="13"/>
      <c r="AH227" s="13"/>
      <c r="AI227" s="13"/>
      <c r="AJ227" s="13"/>
      <c r="AK227" s="44"/>
    </row>
    <row r="228" spans="1:38" ht="12.75" customHeight="1">
      <c r="A228" s="41">
        <v>454</v>
      </c>
      <c r="B228" s="10">
        <v>1137</v>
      </c>
      <c r="C228" s="10" t="s">
        <v>694</v>
      </c>
      <c r="D228" s="16">
        <v>1635.97</v>
      </c>
      <c r="E228" s="20" t="s">
        <v>695</v>
      </c>
      <c r="F228" s="20" t="s">
        <v>696</v>
      </c>
      <c r="G228" s="12">
        <v>1</v>
      </c>
      <c r="H228" s="12">
        <v>3</v>
      </c>
      <c r="I228" s="16">
        <f>ROUND(G228,0)</f>
        <v>1</v>
      </c>
      <c r="J228" s="16">
        <f>ROUND(H228,0)</f>
        <v>3</v>
      </c>
      <c r="K228" s="18" t="str">
        <f>IF(I228=J228,"TAM",(CONCATENATE(G228,"/",H228)))</f>
        <v>1/3</v>
      </c>
      <c r="L228" s="29">
        <f>1635.97*1/3</f>
        <v>545.3233333333333</v>
      </c>
      <c r="M228" s="30">
        <v>0</v>
      </c>
      <c r="N228" s="16" t="str">
        <f>IF(M228=0,"0",(O228*M228))</f>
        <v>0</v>
      </c>
      <c r="O228" s="16">
        <f>IF(W228=1,L228,((D228*G228/H228)-P228)/(1-V228)-S228-T228)</f>
        <v>545.3233333333334</v>
      </c>
      <c r="P228" s="16">
        <v>0</v>
      </c>
      <c r="Q228" s="16">
        <f>IF(U228=0,"0",O228*U228)</f>
        <v>182.548311903982</v>
      </c>
      <c r="R228" s="17">
        <f>IF(U228=0,(((D228*G228/H228)-P228-S228-T228)/(1-V228)),(((D228*G228/H228)-P228-S228-T228)/(1-V228))-((D228*G228/H228)-P228-S228-T228)*U228/(1-V228))</f>
        <v>362.77502142935134</v>
      </c>
      <c r="S228" s="12">
        <v>0</v>
      </c>
      <c r="T228" s="12">
        <v>0</v>
      </c>
      <c r="U228" s="12">
        <v>0.334752431714485</v>
      </c>
      <c r="V228" s="12">
        <v>0</v>
      </c>
      <c r="W228" s="28">
        <f>IF(V228&gt;U228,1,V228)</f>
        <v>0</v>
      </c>
      <c r="X228" s="12">
        <v>1</v>
      </c>
      <c r="Y228" s="16">
        <v>0</v>
      </c>
      <c r="Z228" s="42" t="str">
        <f>IF(OR(W228=1,W228=0),"0",(Q228-N228))</f>
        <v>0</v>
      </c>
      <c r="AA228" s="53" t="s">
        <v>697</v>
      </c>
      <c r="AB228" s="16" t="s">
        <v>699</v>
      </c>
      <c r="AC228" s="16">
        <v>142.49</v>
      </c>
      <c r="AD228" s="16">
        <v>427.47</v>
      </c>
      <c r="AE228" s="16">
        <f>ROUND(AC228*100,0)</f>
        <v>14249</v>
      </c>
      <c r="AF228" s="16">
        <f>ROUND(AD228*100,0)</f>
        <v>42747</v>
      </c>
      <c r="AG228" s="19" t="str">
        <f>IF(AC228=AD228,"TAM",(CONCATENATE(AE228,"/",AF228)))</f>
        <v>14249/42747</v>
      </c>
      <c r="AH228" s="11" t="s">
        <v>50</v>
      </c>
      <c r="AI228" s="21" t="s">
        <v>50</v>
      </c>
      <c r="AJ228" s="21" t="s">
        <v>698</v>
      </c>
      <c r="AK228" s="54" t="s">
        <v>50</v>
      </c>
      <c r="AL228" s="1" t="s">
        <v>50</v>
      </c>
    </row>
    <row r="229" spans="1:37" ht="12.75" customHeight="1">
      <c r="A229" s="43"/>
      <c r="B229" s="13"/>
      <c r="C229" s="13"/>
      <c r="D229" s="31"/>
      <c r="E229" s="14" t="s">
        <v>50</v>
      </c>
      <c r="F229" s="14"/>
      <c r="G229" s="14"/>
      <c r="H229" s="14"/>
      <c r="I229" s="31"/>
      <c r="J229" s="31"/>
      <c r="K229" s="15"/>
      <c r="L229" s="15"/>
      <c r="M229" s="15"/>
      <c r="N229" s="15"/>
      <c r="O229" s="15"/>
      <c r="P229" s="14"/>
      <c r="Q229" s="14"/>
      <c r="R229" s="14"/>
      <c r="S229" s="14"/>
      <c r="T229" s="14"/>
      <c r="U229" s="14"/>
      <c r="V229" s="14"/>
      <c r="W229" s="14"/>
      <c r="X229" s="14"/>
      <c r="Y229" s="13"/>
      <c r="Z229" s="44"/>
      <c r="AA229" s="43"/>
      <c r="AB229" s="13"/>
      <c r="AC229" s="13"/>
      <c r="AD229" s="13"/>
      <c r="AE229" s="13"/>
      <c r="AF229" s="13"/>
      <c r="AG229" s="13"/>
      <c r="AH229" s="13"/>
      <c r="AI229" s="13"/>
      <c r="AJ229" s="13"/>
      <c r="AK229" s="44"/>
    </row>
    <row r="230" spans="1:38" ht="12.75" customHeight="1">
      <c r="A230" s="41">
        <v>452</v>
      </c>
      <c r="B230" s="10">
        <v>1137</v>
      </c>
      <c r="C230" s="10" t="s">
        <v>700</v>
      </c>
      <c r="D230" s="16">
        <v>1635.97</v>
      </c>
      <c r="E230" s="20" t="s">
        <v>701</v>
      </c>
      <c r="F230" s="20" t="s">
        <v>702</v>
      </c>
      <c r="G230" s="12">
        <v>1</v>
      </c>
      <c r="H230" s="12">
        <v>3</v>
      </c>
      <c r="I230" s="16">
        <f>ROUND(G230,0)</f>
        <v>1</v>
      </c>
      <c r="J230" s="16">
        <f>ROUND(H230,0)</f>
        <v>3</v>
      </c>
      <c r="K230" s="18" t="str">
        <f>IF(I230=J230,"TAM",(CONCATENATE(G230,"/",H230)))</f>
        <v>1/3</v>
      </c>
      <c r="L230" s="29">
        <f>1635.97*1/3</f>
        <v>545.3233333333333</v>
      </c>
      <c r="M230" s="30">
        <v>0</v>
      </c>
      <c r="N230" s="16" t="str">
        <f>IF(M230=0,"0",(O230*M230))</f>
        <v>0</v>
      </c>
      <c r="O230" s="16">
        <f>IF(W230=1,L230,((D230*G230/H230)-P230)/(1-V230)-S230-T230)</f>
        <v>545.3233333333334</v>
      </c>
      <c r="P230" s="16">
        <v>0</v>
      </c>
      <c r="Q230" s="16">
        <f>IF(U230=0,"0",O230*U230)</f>
        <v>182.548311903982</v>
      </c>
      <c r="R230" s="17">
        <f>IF(U230=0,(((D230*G230/H230)-P230-S230-T230)/(1-V230)),(((D230*G230/H230)-P230-S230-T230)/(1-V230))-((D230*G230/H230)-P230-S230-T230)*U230/(1-V230))</f>
        <v>362.77502142935134</v>
      </c>
      <c r="S230" s="12">
        <v>0</v>
      </c>
      <c r="T230" s="12">
        <v>0</v>
      </c>
      <c r="U230" s="12">
        <v>0.334752431714485</v>
      </c>
      <c r="V230" s="12">
        <v>0</v>
      </c>
      <c r="W230" s="28">
        <f>IF(V230&gt;U230,1,V230)</f>
        <v>0</v>
      </c>
      <c r="X230" s="12">
        <v>1</v>
      </c>
      <c r="Y230" s="16">
        <v>0</v>
      </c>
      <c r="Z230" s="42" t="str">
        <f>IF(OR(W230=1,W230=0),"0",(Q230-N230))</f>
        <v>0</v>
      </c>
      <c r="AA230" s="53" t="s">
        <v>703</v>
      </c>
      <c r="AB230" s="16" t="s">
        <v>705</v>
      </c>
      <c r="AC230" s="16">
        <v>142.49</v>
      </c>
      <c r="AD230" s="16">
        <v>427.47</v>
      </c>
      <c r="AE230" s="16">
        <f>ROUND(AC230*100,0)</f>
        <v>14249</v>
      </c>
      <c r="AF230" s="16">
        <f>ROUND(AD230*100,0)</f>
        <v>42747</v>
      </c>
      <c r="AG230" s="19" t="str">
        <f>IF(AC230=AD230,"TAM",(CONCATENATE(AE230,"/",AF230)))</f>
        <v>14249/42747</v>
      </c>
      <c r="AH230" s="11" t="s">
        <v>50</v>
      </c>
      <c r="AI230" s="21" t="s">
        <v>50</v>
      </c>
      <c r="AJ230" s="21" t="s">
        <v>704</v>
      </c>
      <c r="AK230" s="54" t="s">
        <v>50</v>
      </c>
      <c r="AL230" s="1" t="s">
        <v>50</v>
      </c>
    </row>
    <row r="231" spans="1:37" ht="12.75" customHeight="1">
      <c r="A231" s="43"/>
      <c r="B231" s="13"/>
      <c r="C231" s="13"/>
      <c r="D231" s="31"/>
      <c r="E231" s="14" t="s">
        <v>50</v>
      </c>
      <c r="F231" s="14"/>
      <c r="G231" s="14"/>
      <c r="H231" s="14"/>
      <c r="I231" s="31"/>
      <c r="J231" s="31"/>
      <c r="K231" s="15"/>
      <c r="L231" s="15"/>
      <c r="M231" s="15"/>
      <c r="N231" s="15"/>
      <c r="O231" s="15"/>
      <c r="P231" s="14"/>
      <c r="Q231" s="14"/>
      <c r="R231" s="14"/>
      <c r="S231" s="14"/>
      <c r="T231" s="14"/>
      <c r="U231" s="14"/>
      <c r="V231" s="14"/>
      <c r="W231" s="14"/>
      <c r="X231" s="14"/>
      <c r="Y231" s="13"/>
      <c r="Z231" s="44"/>
      <c r="AA231" s="43"/>
      <c r="AB231" s="13"/>
      <c r="AC231" s="13"/>
      <c r="AD231" s="13"/>
      <c r="AE231" s="13"/>
      <c r="AF231" s="13"/>
      <c r="AG231" s="13"/>
      <c r="AH231" s="13"/>
      <c r="AI231" s="13"/>
      <c r="AJ231" s="13"/>
      <c r="AK231" s="44"/>
    </row>
    <row r="232" spans="1:38" ht="12.75" customHeight="1">
      <c r="A232" s="41">
        <v>453</v>
      </c>
      <c r="B232" s="10">
        <v>1137</v>
      </c>
      <c r="C232" s="10" t="s">
        <v>706</v>
      </c>
      <c r="D232" s="16">
        <v>1635.97</v>
      </c>
      <c r="E232" s="20" t="s">
        <v>707</v>
      </c>
      <c r="F232" s="20" t="s">
        <v>708</v>
      </c>
      <c r="G232" s="12">
        <v>1</v>
      </c>
      <c r="H232" s="12">
        <v>3</v>
      </c>
      <c r="I232" s="16">
        <f>ROUND(G232,0)</f>
        <v>1</v>
      </c>
      <c r="J232" s="16">
        <f>ROUND(H232,0)</f>
        <v>3</v>
      </c>
      <c r="K232" s="18" t="str">
        <f>IF(I232=J232,"TAM",(CONCATENATE(G232,"/",H232)))</f>
        <v>1/3</v>
      </c>
      <c r="L232" s="29">
        <f>1635.97*1/3</f>
        <v>545.3233333333333</v>
      </c>
      <c r="M232" s="30">
        <v>0</v>
      </c>
      <c r="N232" s="16" t="str">
        <f>IF(M232=0,"0",(O232*M232))</f>
        <v>0</v>
      </c>
      <c r="O232" s="16">
        <f>IF(W232=1,L232,((D232*G232/H232)-P232)/(1-V232)-S232-T232)</f>
        <v>545.3233333333334</v>
      </c>
      <c r="P232" s="16">
        <v>0</v>
      </c>
      <c r="Q232" s="16">
        <f>IF(U232=0,"0",O232*U232)</f>
        <v>182.548311903982</v>
      </c>
      <c r="R232" s="17">
        <f>IF(U232=0,(((D232*G232/H232)-P232-S232-T232)/(1-V232)),(((D232*G232/H232)-P232-S232-T232)/(1-V232))-((D232*G232/H232)-P232-S232-T232)*U232/(1-V232))</f>
        <v>362.77502142935134</v>
      </c>
      <c r="S232" s="12">
        <v>0</v>
      </c>
      <c r="T232" s="12">
        <v>0</v>
      </c>
      <c r="U232" s="12">
        <v>0.334752431714485</v>
      </c>
      <c r="V232" s="12">
        <v>0</v>
      </c>
      <c r="W232" s="28">
        <f>IF(V232&gt;U232,1,V232)</f>
        <v>0</v>
      </c>
      <c r="X232" s="12">
        <v>1</v>
      </c>
      <c r="Y232" s="16">
        <v>0</v>
      </c>
      <c r="Z232" s="42" t="str">
        <f>IF(OR(W232=1,W232=0),"0",(Q232-N232))</f>
        <v>0</v>
      </c>
      <c r="AA232" s="53" t="s">
        <v>709</v>
      </c>
      <c r="AB232" s="16" t="s">
        <v>711</v>
      </c>
      <c r="AC232" s="16">
        <v>142.49</v>
      </c>
      <c r="AD232" s="16">
        <v>427.47</v>
      </c>
      <c r="AE232" s="16">
        <f>ROUND(AC232*100,0)</f>
        <v>14249</v>
      </c>
      <c r="AF232" s="16">
        <f>ROUND(AD232*100,0)</f>
        <v>42747</v>
      </c>
      <c r="AG232" s="19" t="str">
        <f>IF(AC232=AD232,"TAM",(CONCATENATE(AE232,"/",AF232)))</f>
        <v>14249/42747</v>
      </c>
      <c r="AH232" s="11" t="s">
        <v>50</v>
      </c>
      <c r="AI232" s="21" t="s">
        <v>50</v>
      </c>
      <c r="AJ232" s="21" t="s">
        <v>710</v>
      </c>
      <c r="AK232" s="54" t="s">
        <v>50</v>
      </c>
      <c r="AL232" s="1" t="s">
        <v>50</v>
      </c>
    </row>
    <row r="233" spans="1:37" ht="12.75" customHeight="1">
      <c r="A233" s="43"/>
      <c r="B233" s="13"/>
      <c r="C233" s="13"/>
      <c r="D233" s="31"/>
      <c r="E233" s="14" t="s">
        <v>50</v>
      </c>
      <c r="F233" s="14"/>
      <c r="G233" s="14"/>
      <c r="H233" s="14"/>
      <c r="I233" s="31"/>
      <c r="J233" s="31"/>
      <c r="K233" s="15"/>
      <c r="L233" s="15"/>
      <c r="M233" s="15"/>
      <c r="N233" s="15"/>
      <c r="O233" s="15"/>
      <c r="P233" s="14"/>
      <c r="Q233" s="14"/>
      <c r="R233" s="14"/>
      <c r="S233" s="14"/>
      <c r="T233" s="14"/>
      <c r="U233" s="14"/>
      <c r="V233" s="14"/>
      <c r="W233" s="14"/>
      <c r="X233" s="14"/>
      <c r="Y233" s="13"/>
      <c r="Z233" s="44"/>
      <c r="AA233" s="43"/>
      <c r="AB233" s="13"/>
      <c r="AC233" s="13"/>
      <c r="AD233" s="13"/>
      <c r="AE233" s="13"/>
      <c r="AF233" s="13"/>
      <c r="AG233" s="13"/>
      <c r="AH233" s="13"/>
      <c r="AI233" s="13"/>
      <c r="AJ233" s="13"/>
      <c r="AK233" s="44"/>
    </row>
    <row r="234" spans="1:38" ht="12.75" customHeight="1">
      <c r="A234" s="41">
        <v>56</v>
      </c>
      <c r="B234" s="10">
        <v>1023</v>
      </c>
      <c r="C234" s="10" t="s">
        <v>712</v>
      </c>
      <c r="D234" s="16">
        <v>4514.69</v>
      </c>
      <c r="E234" s="20" t="s">
        <v>713</v>
      </c>
      <c r="F234" s="20" t="s">
        <v>714</v>
      </c>
      <c r="G234" s="12">
        <v>1</v>
      </c>
      <c r="H234" s="12">
        <v>1</v>
      </c>
      <c r="I234" s="16">
        <f>ROUND(G234,0)</f>
        <v>1</v>
      </c>
      <c r="J234" s="16">
        <f>ROUND(H234,0)</f>
        <v>1</v>
      </c>
      <c r="K234" s="18" t="str">
        <f>IF(I234=J234,"TAM",(CONCATENATE(G234,"/",H234)))</f>
        <v>TAM</v>
      </c>
      <c r="L234" s="29">
        <f>4514.69*1/1</f>
        <v>4514.69</v>
      </c>
      <c r="M234" s="30">
        <v>0</v>
      </c>
      <c r="N234" s="16" t="str">
        <f>IF(M234=0,"0",(O234*M234))</f>
        <v>0</v>
      </c>
      <c r="O234" s="16">
        <f>IF(W234=1,L234,((D234*G234/H234)-P234)/(1-V234)-S234-T234)</f>
        <v>4514.69</v>
      </c>
      <c r="P234" s="16">
        <v>0</v>
      </c>
      <c r="Q234" s="16">
        <f>IF(U234=0,"0",O234*U234)</f>
        <v>1511.303455937068</v>
      </c>
      <c r="R234" s="17">
        <f>IF(U234=0,(((D234*G234/H234)-P234-S234-T234)/(1-V234)),(((D234*G234/H234)-P234-S234-T234)/(1-V234))-((D234*G234/H234)-P234-S234-T234)*U234/(1-V234))</f>
        <v>3003.3865440629315</v>
      </c>
      <c r="S234" s="12">
        <v>0</v>
      </c>
      <c r="T234" s="12">
        <v>0</v>
      </c>
      <c r="U234" s="12">
        <v>0.334752431714485</v>
      </c>
      <c r="V234" s="12">
        <v>0</v>
      </c>
      <c r="W234" s="28">
        <f>IF(V234&gt;U234,1,V234)</f>
        <v>0</v>
      </c>
      <c r="X234" s="12">
        <v>1</v>
      </c>
      <c r="Y234" s="16">
        <v>0</v>
      </c>
      <c r="Z234" s="42" t="str">
        <f>IF(OR(W234=1,W234=0),"0",(Q234-N234))</f>
        <v>0</v>
      </c>
      <c r="AA234" s="53" t="s">
        <v>716</v>
      </c>
      <c r="AB234" s="16" t="s">
        <v>718</v>
      </c>
      <c r="AC234" s="16">
        <v>1000</v>
      </c>
      <c r="AD234" s="16">
        <v>1000</v>
      </c>
      <c r="AE234" s="16">
        <f>ROUND(AC234*100,0)</f>
        <v>100000</v>
      </c>
      <c r="AF234" s="16">
        <f>ROUND(AD234*100,0)</f>
        <v>100000</v>
      </c>
      <c r="AG234" s="19" t="str">
        <f>IF(AC234=AD234,"TAM",(CONCATENATE(AE234,"/",AF234)))</f>
        <v>TAM</v>
      </c>
      <c r="AH234" s="11" t="s">
        <v>50</v>
      </c>
      <c r="AI234" s="21" t="s">
        <v>50</v>
      </c>
      <c r="AJ234" s="21" t="s">
        <v>717</v>
      </c>
      <c r="AK234" s="54" t="s">
        <v>50</v>
      </c>
      <c r="AL234" s="1" t="s">
        <v>50</v>
      </c>
    </row>
    <row r="235" spans="1:37" ht="114" customHeight="1">
      <c r="A235" s="43"/>
      <c r="B235" s="13"/>
      <c r="C235" s="13"/>
      <c r="D235" s="31"/>
      <c r="E235" s="34" t="s">
        <v>715</v>
      </c>
      <c r="F235" s="14"/>
      <c r="G235" s="14"/>
      <c r="H235" s="14"/>
      <c r="I235" s="31"/>
      <c r="J235" s="31"/>
      <c r="K235" s="15"/>
      <c r="L235" s="15"/>
      <c r="M235" s="15"/>
      <c r="N235" s="15"/>
      <c r="O235" s="15"/>
      <c r="P235" s="14"/>
      <c r="Q235" s="14"/>
      <c r="R235" s="14"/>
      <c r="S235" s="14"/>
      <c r="T235" s="14"/>
      <c r="U235" s="14"/>
      <c r="V235" s="14"/>
      <c r="W235" s="14"/>
      <c r="X235" s="14"/>
      <c r="Y235" s="13"/>
      <c r="Z235" s="44"/>
      <c r="AA235" s="43"/>
      <c r="AB235" s="13"/>
      <c r="AC235" s="13"/>
      <c r="AD235" s="13"/>
      <c r="AE235" s="13"/>
      <c r="AF235" s="13"/>
      <c r="AG235" s="13"/>
      <c r="AH235" s="13"/>
      <c r="AI235" s="13"/>
      <c r="AJ235" s="13"/>
      <c r="AK235" s="44"/>
    </row>
    <row r="236" spans="1:38" ht="12.75" customHeight="1">
      <c r="A236" s="41">
        <v>85</v>
      </c>
      <c r="B236" s="10">
        <v>1030</v>
      </c>
      <c r="C236" s="10" t="s">
        <v>719</v>
      </c>
      <c r="D236" s="16">
        <v>1835.55</v>
      </c>
      <c r="E236" s="20" t="s">
        <v>720</v>
      </c>
      <c r="F236" s="20" t="s">
        <v>721</v>
      </c>
      <c r="G236" s="12">
        <v>1</v>
      </c>
      <c r="H236" s="12">
        <v>1</v>
      </c>
      <c r="I236" s="16">
        <f>ROUND(G236,0)</f>
        <v>1</v>
      </c>
      <c r="J236" s="16">
        <f>ROUND(H236,0)</f>
        <v>1</v>
      </c>
      <c r="K236" s="18" t="str">
        <f>IF(I236=J236,"TAM",(CONCATENATE(G236,"/",H236)))</f>
        <v>TAM</v>
      </c>
      <c r="L236" s="29">
        <f>1835.55*1/1</f>
        <v>1835.55</v>
      </c>
      <c r="M236" s="30">
        <v>0</v>
      </c>
      <c r="N236" s="16" t="str">
        <f>IF(M236=0,"0",(O236*M236))</f>
        <v>0</v>
      </c>
      <c r="O236" s="16">
        <f>IF(W236=1,L236,((D236*G236/H236)-P236)/(1-V236)-S236-T236)</f>
        <v>1835.55</v>
      </c>
      <c r="P236" s="16">
        <v>0</v>
      </c>
      <c r="Q236" s="16">
        <f>IF(U236=0,"0",O236*U236)</f>
        <v>614.4548260335229</v>
      </c>
      <c r="R236" s="17">
        <f>IF(U236=0,(((D236*G236/H236)-P236-S236-T236)/(1-V236)),(((D236*G236/H236)-P236-S236-T236)/(1-V236))-((D236*G236/H236)-P236-S236-T236)*U236/(1-V236))</f>
        <v>1221.095173966477</v>
      </c>
      <c r="S236" s="12">
        <v>0</v>
      </c>
      <c r="T236" s="12">
        <v>0</v>
      </c>
      <c r="U236" s="12">
        <v>0.334752431714485</v>
      </c>
      <c r="V236" s="12">
        <v>0</v>
      </c>
      <c r="W236" s="28">
        <f>IF(V236&gt;U236,1,V236)</f>
        <v>0</v>
      </c>
      <c r="X236" s="12">
        <v>1</v>
      </c>
      <c r="Y236" s="16">
        <v>0</v>
      </c>
      <c r="Z236" s="42" t="str">
        <f>IF(OR(W236=1,W236=0),"0",(Q236-N236))</f>
        <v>0</v>
      </c>
      <c r="AA236" s="53" t="s">
        <v>722</v>
      </c>
      <c r="AB236" s="16" t="s">
        <v>724</v>
      </c>
      <c r="AC236" s="16">
        <v>511.64</v>
      </c>
      <c r="AD236" s="16">
        <v>511.64</v>
      </c>
      <c r="AE236" s="16">
        <f>ROUND(AC236*100,0)</f>
        <v>51164</v>
      </c>
      <c r="AF236" s="16">
        <f>ROUND(AD236*100,0)</f>
        <v>51164</v>
      </c>
      <c r="AG236" s="19" t="str">
        <f>IF(AC236=AD236,"TAM",(CONCATENATE(AE236,"/",AF236)))</f>
        <v>TAM</v>
      </c>
      <c r="AH236" s="11" t="s">
        <v>50</v>
      </c>
      <c r="AI236" s="21" t="s">
        <v>50</v>
      </c>
      <c r="AJ236" s="21" t="s">
        <v>723</v>
      </c>
      <c r="AK236" s="54" t="s">
        <v>50</v>
      </c>
      <c r="AL236" s="1" t="s">
        <v>50</v>
      </c>
    </row>
    <row r="237" spans="1:37" ht="12.75" customHeight="1">
      <c r="A237" s="43"/>
      <c r="B237" s="13"/>
      <c r="C237" s="13"/>
      <c r="D237" s="31"/>
      <c r="E237" s="14" t="s">
        <v>50</v>
      </c>
      <c r="F237" s="14"/>
      <c r="G237" s="14"/>
      <c r="H237" s="14"/>
      <c r="I237" s="31"/>
      <c r="J237" s="31"/>
      <c r="K237" s="15"/>
      <c r="L237" s="15"/>
      <c r="M237" s="15"/>
      <c r="N237" s="15"/>
      <c r="O237" s="15"/>
      <c r="P237" s="14"/>
      <c r="Q237" s="14"/>
      <c r="R237" s="14"/>
      <c r="S237" s="14"/>
      <c r="T237" s="14"/>
      <c r="U237" s="14"/>
      <c r="V237" s="14"/>
      <c r="W237" s="14"/>
      <c r="X237" s="14"/>
      <c r="Y237" s="13"/>
      <c r="Z237" s="44"/>
      <c r="AA237" s="43"/>
      <c r="AB237" s="13"/>
      <c r="AC237" s="13"/>
      <c r="AD237" s="13"/>
      <c r="AE237" s="13"/>
      <c r="AF237" s="13"/>
      <c r="AG237" s="13"/>
      <c r="AH237" s="13"/>
      <c r="AI237" s="13"/>
      <c r="AJ237" s="13"/>
      <c r="AK237" s="44"/>
    </row>
    <row r="238" spans="1:38" ht="12.75" customHeight="1">
      <c r="A238" s="41">
        <v>85</v>
      </c>
      <c r="B238" s="10">
        <v>1030</v>
      </c>
      <c r="C238" s="10" t="s">
        <v>725</v>
      </c>
      <c r="D238" s="16">
        <v>1835.55</v>
      </c>
      <c r="E238" s="20" t="s">
        <v>726</v>
      </c>
      <c r="F238" s="20" t="s">
        <v>727</v>
      </c>
      <c r="G238" s="12">
        <v>1</v>
      </c>
      <c r="H238" s="12">
        <v>1</v>
      </c>
      <c r="I238" s="16">
        <f>ROUND(G238,0)</f>
        <v>1</v>
      </c>
      <c r="J238" s="16">
        <f>ROUND(H238,0)</f>
        <v>1</v>
      </c>
      <c r="K238" s="18" t="str">
        <f>IF(I238=J238,"TAM",(CONCATENATE(G238,"/",H238)))</f>
        <v>TAM</v>
      </c>
      <c r="L238" s="29">
        <f>1835.55*1/1</f>
        <v>1835.55</v>
      </c>
      <c r="M238" s="30">
        <v>0</v>
      </c>
      <c r="N238" s="16" t="str">
        <f>IF(M238=0,"0",(O238*M238))</f>
        <v>0</v>
      </c>
      <c r="O238" s="16">
        <f>IF(W238=1,L238,((D238*G238/H238)-P238)/(1-V238)-S238-T238)</f>
        <v>1835.55</v>
      </c>
      <c r="P238" s="16">
        <v>0</v>
      </c>
      <c r="Q238" s="16">
        <f>IF(U238=0,"0",O238*U238)</f>
        <v>614.4548260335229</v>
      </c>
      <c r="R238" s="17">
        <f>IF(U238=0,(((D238*G238/H238)-P238-S238-T238)/(1-V238)),(((D238*G238/H238)-P238-S238-T238)/(1-V238))-((D238*G238/H238)-P238-S238-T238)*U238/(1-V238))</f>
        <v>1221.095173966477</v>
      </c>
      <c r="S238" s="12">
        <v>0</v>
      </c>
      <c r="T238" s="12">
        <v>0</v>
      </c>
      <c r="U238" s="12">
        <v>0.334752431714485</v>
      </c>
      <c r="V238" s="12">
        <v>0</v>
      </c>
      <c r="W238" s="28">
        <f>IF(V238&gt;U238,1,V238)</f>
        <v>0</v>
      </c>
      <c r="X238" s="12">
        <v>1</v>
      </c>
      <c r="Y238" s="16">
        <v>0</v>
      </c>
      <c r="Z238" s="42" t="str">
        <f>IF(OR(W238=1,W238=0),"0",(Q238-N238))</f>
        <v>0</v>
      </c>
      <c r="AA238" s="53" t="s">
        <v>728</v>
      </c>
      <c r="AB238" s="16" t="s">
        <v>729</v>
      </c>
      <c r="AC238" s="16">
        <v>304</v>
      </c>
      <c r="AD238" s="16">
        <v>1327.93</v>
      </c>
      <c r="AE238" s="16">
        <f>ROUND(AC238*100,0)</f>
        <v>30400</v>
      </c>
      <c r="AF238" s="16">
        <f>ROUND(AD238*100,0)</f>
        <v>132793</v>
      </c>
      <c r="AG238" s="19" t="str">
        <f>IF(AC238=AD238,"TAM",(CONCATENATE(AE238,"/",AF238)))</f>
        <v>30400/132793</v>
      </c>
      <c r="AH238" s="11" t="s">
        <v>50</v>
      </c>
      <c r="AI238" s="21" t="s">
        <v>50</v>
      </c>
      <c r="AJ238" s="71" t="s">
        <v>2425</v>
      </c>
      <c r="AK238" s="54" t="s">
        <v>50</v>
      </c>
      <c r="AL238" s="1" t="s">
        <v>50</v>
      </c>
    </row>
    <row r="239" spans="1:37" ht="12.75" customHeight="1">
      <c r="A239" s="43"/>
      <c r="B239" s="13"/>
      <c r="C239" s="13"/>
      <c r="D239" s="31"/>
      <c r="E239" s="14" t="s">
        <v>50</v>
      </c>
      <c r="F239" s="14"/>
      <c r="G239" s="14"/>
      <c r="H239" s="14"/>
      <c r="I239" s="31"/>
      <c r="J239" s="31"/>
      <c r="K239" s="15"/>
      <c r="L239" s="15"/>
      <c r="M239" s="15"/>
      <c r="N239" s="15"/>
      <c r="O239" s="15"/>
      <c r="P239" s="14"/>
      <c r="Q239" s="14"/>
      <c r="R239" s="14"/>
      <c r="S239" s="14"/>
      <c r="T239" s="14"/>
      <c r="U239" s="14"/>
      <c r="V239" s="14"/>
      <c r="W239" s="14"/>
      <c r="X239" s="14"/>
      <c r="Y239" s="13"/>
      <c r="Z239" s="44"/>
      <c r="AA239" s="43"/>
      <c r="AB239" s="13"/>
      <c r="AC239" s="13"/>
      <c r="AD239" s="13"/>
      <c r="AE239" s="13"/>
      <c r="AF239" s="13"/>
      <c r="AG239" s="13"/>
      <c r="AH239" s="13"/>
      <c r="AI239" s="13"/>
      <c r="AJ239" s="79"/>
      <c r="AK239" s="44"/>
    </row>
    <row r="240" spans="1:38" ht="12.75" customHeight="1">
      <c r="A240" s="41">
        <v>88</v>
      </c>
      <c r="B240" s="10">
        <v>1031</v>
      </c>
      <c r="C240" s="10" t="s">
        <v>730</v>
      </c>
      <c r="D240" s="16">
        <v>881.18</v>
      </c>
      <c r="E240" s="20" t="s">
        <v>731</v>
      </c>
      <c r="F240" s="20" t="s">
        <v>732</v>
      </c>
      <c r="G240" s="12">
        <v>1</v>
      </c>
      <c r="H240" s="12">
        <v>2</v>
      </c>
      <c r="I240" s="16">
        <f>ROUND(G240,0)</f>
        <v>1</v>
      </c>
      <c r="J240" s="16">
        <f>ROUND(H240,0)</f>
        <v>2</v>
      </c>
      <c r="K240" s="18" t="str">
        <f>IF(I240=J240,"TAM",(CONCATENATE(G240,"/",H240)))</f>
        <v>1/2</v>
      </c>
      <c r="L240" s="29">
        <f>881.18*1/2</f>
        <v>440.59</v>
      </c>
      <c r="M240" s="30">
        <v>0</v>
      </c>
      <c r="N240" s="16" t="str">
        <f>IF(M240=0,"0",(O240*M240))</f>
        <v>0</v>
      </c>
      <c r="O240" s="16">
        <f>IF(W240=1,L240,((D240*G240/H240)-P240)/(1-V240)-S240-T240)</f>
        <v>440.59</v>
      </c>
      <c r="P240" s="16">
        <v>0</v>
      </c>
      <c r="Q240" s="16">
        <f>IF(U240=0,"0",O240*U240)</f>
        <v>147.48857388908493</v>
      </c>
      <c r="R240" s="17">
        <f>IF(U240=0,(((D240*G240/H240)-P240-S240-T240)/(1-V240)),(((D240*G240/H240)-P240-S240-T240)/(1-V240))-((D240*G240/H240)-P240-S240-T240)*U240/(1-V240))</f>
        <v>293.10142611091504</v>
      </c>
      <c r="S240" s="12">
        <v>0</v>
      </c>
      <c r="T240" s="12">
        <v>0</v>
      </c>
      <c r="U240" s="12">
        <v>0.334752431714485</v>
      </c>
      <c r="V240" s="12">
        <v>0</v>
      </c>
      <c r="W240" s="28">
        <f>IF(V240&gt;U240,1,V240)</f>
        <v>0</v>
      </c>
      <c r="X240" s="12">
        <v>1</v>
      </c>
      <c r="Y240" s="16">
        <v>0</v>
      </c>
      <c r="Z240" s="42" t="str">
        <f>IF(OR(W240=1,W240=0),"0",(Q240-N240))</f>
        <v>0</v>
      </c>
      <c r="AA240" s="53" t="s">
        <v>733</v>
      </c>
      <c r="AB240" s="16" t="s">
        <v>734</v>
      </c>
      <c r="AC240" s="16">
        <v>293.11</v>
      </c>
      <c r="AD240" s="16">
        <v>1327.93</v>
      </c>
      <c r="AE240" s="16">
        <f>ROUND(AC240*100,0)</f>
        <v>29311</v>
      </c>
      <c r="AF240" s="16">
        <f>ROUND(AD240*100,0)</f>
        <v>132793</v>
      </c>
      <c r="AG240" s="19" t="str">
        <f>IF(AC240=AD240,"TAM",(CONCATENATE(AE240,"/",AF240)))</f>
        <v>29311/132793</v>
      </c>
      <c r="AH240" s="11" t="s">
        <v>50</v>
      </c>
      <c r="AI240" s="21" t="s">
        <v>50</v>
      </c>
      <c r="AJ240" s="71" t="s">
        <v>2425</v>
      </c>
      <c r="AK240" s="54" t="s">
        <v>50</v>
      </c>
      <c r="AL240" s="1" t="s">
        <v>50</v>
      </c>
    </row>
    <row r="241" spans="1:37" ht="12.75" customHeight="1">
      <c r="A241" s="43"/>
      <c r="B241" s="13"/>
      <c r="C241" s="13"/>
      <c r="D241" s="31"/>
      <c r="E241" s="14" t="s">
        <v>50</v>
      </c>
      <c r="F241" s="14"/>
      <c r="G241" s="14"/>
      <c r="H241" s="14"/>
      <c r="I241" s="31"/>
      <c r="J241" s="31"/>
      <c r="K241" s="15"/>
      <c r="L241" s="15"/>
      <c r="M241" s="15"/>
      <c r="N241" s="15"/>
      <c r="O241" s="15"/>
      <c r="P241" s="14"/>
      <c r="Q241" s="14"/>
      <c r="R241" s="14"/>
      <c r="S241" s="14"/>
      <c r="T241" s="14"/>
      <c r="U241" s="14"/>
      <c r="V241" s="14"/>
      <c r="W241" s="14"/>
      <c r="X241" s="14"/>
      <c r="Y241" s="13"/>
      <c r="Z241" s="44"/>
      <c r="AA241" s="43"/>
      <c r="AB241" s="13"/>
      <c r="AC241" s="13"/>
      <c r="AD241" s="13"/>
      <c r="AE241" s="13"/>
      <c r="AF241" s="13"/>
      <c r="AG241" s="13"/>
      <c r="AH241" s="13"/>
      <c r="AI241" s="13"/>
      <c r="AJ241" s="79"/>
      <c r="AK241" s="44"/>
    </row>
    <row r="242" spans="1:38" ht="12.75" customHeight="1">
      <c r="A242" s="41">
        <v>87</v>
      </c>
      <c r="B242" s="10">
        <v>1031</v>
      </c>
      <c r="C242" s="10" t="s">
        <v>735</v>
      </c>
      <c r="D242" s="16">
        <v>881.18</v>
      </c>
      <c r="E242" s="20" t="s">
        <v>736</v>
      </c>
      <c r="F242" s="20" t="s">
        <v>737</v>
      </c>
      <c r="G242" s="12">
        <v>1</v>
      </c>
      <c r="H242" s="12">
        <v>4</v>
      </c>
      <c r="I242" s="16">
        <f>ROUND(G242,0)</f>
        <v>1</v>
      </c>
      <c r="J242" s="16">
        <f>ROUND(H242,0)</f>
        <v>4</v>
      </c>
      <c r="K242" s="18" t="str">
        <f>IF(I242=J242,"TAM",(CONCATENATE(G242,"/",H242)))</f>
        <v>1/4</v>
      </c>
      <c r="L242" s="29">
        <f>881.18*1/4</f>
        <v>220.295</v>
      </c>
      <c r="M242" s="30">
        <v>0</v>
      </c>
      <c r="N242" s="16" t="str">
        <f>IF(M242=0,"0",(O242*M242))</f>
        <v>0</v>
      </c>
      <c r="O242" s="16">
        <f>IF(W242=1,L242,((D242*G242/H242)-P242)/(1-V242)-S242-T242)</f>
        <v>220.295</v>
      </c>
      <c r="P242" s="16">
        <v>0</v>
      </c>
      <c r="Q242" s="16">
        <f>IF(U242=0,"0",O242*U242)</f>
        <v>73.74428694454247</v>
      </c>
      <c r="R242" s="17">
        <f>IF(U242=0,(((D242*G242/H242)-P242-S242-T242)/(1-V242)),(((D242*G242/H242)-P242-S242-T242)/(1-V242))-((D242*G242/H242)-P242-S242-T242)*U242/(1-V242))</f>
        <v>146.55071305545752</v>
      </c>
      <c r="S242" s="12">
        <v>0</v>
      </c>
      <c r="T242" s="12">
        <v>0</v>
      </c>
      <c r="U242" s="12">
        <v>0.334752431714485</v>
      </c>
      <c r="V242" s="12">
        <v>0</v>
      </c>
      <c r="W242" s="28">
        <f>IF(V242&gt;U242,1,V242)</f>
        <v>0</v>
      </c>
      <c r="X242" s="12">
        <v>1</v>
      </c>
      <c r="Y242" s="16">
        <v>0</v>
      </c>
      <c r="Z242" s="42" t="str">
        <f>IF(OR(W242=1,W242=0),"0",(Q242-N242))</f>
        <v>0</v>
      </c>
      <c r="AA242" s="53" t="s">
        <v>738</v>
      </c>
      <c r="AB242" s="16" t="s">
        <v>739</v>
      </c>
      <c r="AC242" s="16">
        <v>146.54</v>
      </c>
      <c r="AD242" s="16">
        <v>1327.93</v>
      </c>
      <c r="AE242" s="16">
        <f>ROUND(AC242*100,0)</f>
        <v>14654</v>
      </c>
      <c r="AF242" s="16">
        <f>ROUND(AD242*100,0)</f>
        <v>132793</v>
      </c>
      <c r="AG242" s="19" t="str">
        <f>IF(AC242=AD242,"TAM",(CONCATENATE(AE242,"/",AF242)))</f>
        <v>14654/132793</v>
      </c>
      <c r="AH242" s="11" t="s">
        <v>50</v>
      </c>
      <c r="AI242" s="21" t="s">
        <v>50</v>
      </c>
      <c r="AJ242" s="71" t="s">
        <v>2425</v>
      </c>
      <c r="AK242" s="54" t="s">
        <v>50</v>
      </c>
      <c r="AL242" s="1" t="s">
        <v>50</v>
      </c>
    </row>
    <row r="243" spans="1:37" ht="12.75" customHeight="1">
      <c r="A243" s="43"/>
      <c r="B243" s="13"/>
      <c r="C243" s="13"/>
      <c r="D243" s="31"/>
      <c r="E243" s="14" t="s">
        <v>50</v>
      </c>
      <c r="F243" s="14"/>
      <c r="G243" s="14"/>
      <c r="H243" s="14"/>
      <c r="I243" s="31"/>
      <c r="J243" s="31"/>
      <c r="K243" s="15"/>
      <c r="L243" s="15"/>
      <c r="M243" s="15"/>
      <c r="N243" s="15"/>
      <c r="O243" s="15"/>
      <c r="P243" s="14"/>
      <c r="Q243" s="14"/>
      <c r="R243" s="14"/>
      <c r="S243" s="14"/>
      <c r="T243" s="14"/>
      <c r="U243" s="14"/>
      <c r="V243" s="14"/>
      <c r="W243" s="14"/>
      <c r="X243" s="14"/>
      <c r="Y243" s="13"/>
      <c r="Z243" s="44"/>
      <c r="AA243" s="43"/>
      <c r="AB243" s="13"/>
      <c r="AC243" s="13"/>
      <c r="AD243" s="13"/>
      <c r="AE243" s="13"/>
      <c r="AF243" s="13"/>
      <c r="AG243" s="13"/>
      <c r="AH243" s="13"/>
      <c r="AI243" s="13"/>
      <c r="AJ243" s="79"/>
      <c r="AK243" s="44"/>
    </row>
    <row r="244" spans="1:38" ht="12.75" customHeight="1">
      <c r="A244" s="41">
        <v>86</v>
      </c>
      <c r="B244" s="10">
        <v>1031</v>
      </c>
      <c r="C244" s="10" t="s">
        <v>740</v>
      </c>
      <c r="D244" s="16">
        <v>881.18</v>
      </c>
      <c r="E244" s="20" t="s">
        <v>741</v>
      </c>
      <c r="F244" s="20" t="s">
        <v>742</v>
      </c>
      <c r="G244" s="12">
        <v>1</v>
      </c>
      <c r="H244" s="12">
        <v>4</v>
      </c>
      <c r="I244" s="16">
        <f>ROUND(G244,0)</f>
        <v>1</v>
      </c>
      <c r="J244" s="16">
        <f>ROUND(H244,0)</f>
        <v>4</v>
      </c>
      <c r="K244" s="18" t="str">
        <f>IF(I244=J244,"TAM",(CONCATENATE(G244,"/",H244)))</f>
        <v>1/4</v>
      </c>
      <c r="L244" s="29">
        <f>881.18*1/4</f>
        <v>220.295</v>
      </c>
      <c r="M244" s="30">
        <v>0</v>
      </c>
      <c r="N244" s="16" t="str">
        <f>IF(M244=0,"0",(O244*M244))</f>
        <v>0</v>
      </c>
      <c r="O244" s="16">
        <f>IF(W244=1,L244,((D244*G244/H244)-P244)/(1-V244)-S244-T244)</f>
        <v>220.295</v>
      </c>
      <c r="P244" s="16">
        <v>0</v>
      </c>
      <c r="Q244" s="16">
        <f>IF(U244=0,"0",O244*U244)</f>
        <v>73.74428694454247</v>
      </c>
      <c r="R244" s="17">
        <f>IF(U244=0,(((D244*G244/H244)-P244-S244-T244)/(1-V244)),(((D244*G244/H244)-P244-S244-T244)/(1-V244))-((D244*G244/H244)-P244-S244-T244)*U244/(1-V244))</f>
        <v>146.55071305545752</v>
      </c>
      <c r="S244" s="12">
        <v>0</v>
      </c>
      <c r="T244" s="12">
        <v>0</v>
      </c>
      <c r="U244" s="12">
        <v>0.334752431714485</v>
      </c>
      <c r="V244" s="12">
        <v>0</v>
      </c>
      <c r="W244" s="28">
        <f>IF(V244&gt;U244,1,V244)</f>
        <v>0</v>
      </c>
      <c r="X244" s="12">
        <v>1</v>
      </c>
      <c r="Y244" s="16">
        <v>0</v>
      </c>
      <c r="Z244" s="42" t="str">
        <f>IF(OR(W244=1,W244=0),"0",(Q244-N244))</f>
        <v>0</v>
      </c>
      <c r="AA244" s="53" t="s">
        <v>743</v>
      </c>
      <c r="AB244" s="16" t="s">
        <v>744</v>
      </c>
      <c r="AC244" s="16">
        <v>146.55</v>
      </c>
      <c r="AD244" s="16">
        <v>1327.93</v>
      </c>
      <c r="AE244" s="16">
        <f>ROUND(AC244*100,0)</f>
        <v>14655</v>
      </c>
      <c r="AF244" s="16">
        <f>ROUND(AD244*100,0)</f>
        <v>132793</v>
      </c>
      <c r="AG244" s="19" t="str">
        <f>IF(AC244=AD244,"TAM",(CONCATENATE(AE244,"/",AF244)))</f>
        <v>14655/132793</v>
      </c>
      <c r="AH244" s="11" t="s">
        <v>50</v>
      </c>
      <c r="AI244" s="21" t="s">
        <v>50</v>
      </c>
      <c r="AJ244" s="71" t="s">
        <v>2425</v>
      </c>
      <c r="AK244" s="54" t="s">
        <v>50</v>
      </c>
      <c r="AL244" s="1" t="s">
        <v>50</v>
      </c>
    </row>
    <row r="245" spans="1:37" ht="12.75" customHeight="1">
      <c r="A245" s="43"/>
      <c r="B245" s="13"/>
      <c r="C245" s="13"/>
      <c r="D245" s="31"/>
      <c r="E245" s="14" t="s">
        <v>50</v>
      </c>
      <c r="F245" s="14"/>
      <c r="G245" s="14"/>
      <c r="H245" s="14"/>
      <c r="I245" s="31"/>
      <c r="J245" s="31"/>
      <c r="K245" s="15"/>
      <c r="L245" s="15"/>
      <c r="M245" s="15"/>
      <c r="N245" s="15"/>
      <c r="O245" s="15"/>
      <c r="P245" s="14"/>
      <c r="Q245" s="14"/>
      <c r="R245" s="14"/>
      <c r="S245" s="14"/>
      <c r="T245" s="14"/>
      <c r="U245" s="14"/>
      <c r="V245" s="14"/>
      <c r="W245" s="14"/>
      <c r="X245" s="14"/>
      <c r="Y245" s="13"/>
      <c r="Z245" s="44"/>
      <c r="AA245" s="43"/>
      <c r="AB245" s="13"/>
      <c r="AC245" s="13"/>
      <c r="AD245" s="13"/>
      <c r="AE245" s="13"/>
      <c r="AF245" s="13"/>
      <c r="AG245" s="13"/>
      <c r="AH245" s="13"/>
      <c r="AI245" s="13"/>
      <c r="AJ245" s="79"/>
      <c r="AK245" s="44"/>
    </row>
    <row r="246" spans="1:38" ht="12.75" customHeight="1">
      <c r="A246" s="41">
        <v>89</v>
      </c>
      <c r="B246" s="10">
        <v>1032</v>
      </c>
      <c r="C246" s="10" t="s">
        <v>745</v>
      </c>
      <c r="D246" s="16">
        <v>301.05</v>
      </c>
      <c r="E246" s="20" t="s">
        <v>746</v>
      </c>
      <c r="F246" s="20" t="s">
        <v>747</v>
      </c>
      <c r="G246" s="12">
        <v>1</v>
      </c>
      <c r="H246" s="12">
        <v>1</v>
      </c>
      <c r="I246" s="16">
        <f>ROUND(G246,0)</f>
        <v>1</v>
      </c>
      <c r="J246" s="16">
        <f>ROUND(H246,0)</f>
        <v>1</v>
      </c>
      <c r="K246" s="18" t="str">
        <f>IF(I246=J246,"TAM",(CONCATENATE(G246,"/",H246)))</f>
        <v>TAM</v>
      </c>
      <c r="L246" s="29">
        <f>301.05*1/1</f>
        <v>301.05</v>
      </c>
      <c r="M246" s="30">
        <v>0</v>
      </c>
      <c r="N246" s="16" t="str">
        <f>IF(M246=0,"0",(O246*M246))</f>
        <v>0</v>
      </c>
      <c r="O246" s="16">
        <f>IF(W246=1,L246,((D246*G246/H246)-P246)/(1-V246)-S246-T246)</f>
        <v>301.05</v>
      </c>
      <c r="P246" s="16">
        <v>0</v>
      </c>
      <c r="Q246" s="16">
        <f>IF(U246=0,"0",O246*U246)</f>
        <v>100.77721956764572</v>
      </c>
      <c r="R246" s="17">
        <f>IF(U246=0,(((D246*G246/H246)-P246-S246-T246)/(1-V246)),(((D246*G246/H246)-P246-S246-T246)/(1-V246))-((D246*G246/H246)-P246-S246-T246)*U246/(1-V246))</f>
        <v>200.2727804323543</v>
      </c>
      <c r="S246" s="12">
        <v>0</v>
      </c>
      <c r="T246" s="12">
        <v>0</v>
      </c>
      <c r="U246" s="12">
        <v>0.334752431714485</v>
      </c>
      <c r="V246" s="12">
        <v>0</v>
      </c>
      <c r="W246" s="28">
        <f>IF(V246&gt;U246,1,V246)</f>
        <v>0</v>
      </c>
      <c r="X246" s="12">
        <v>1</v>
      </c>
      <c r="Y246" s="16">
        <v>0</v>
      </c>
      <c r="Z246" s="42" t="str">
        <f>IF(OR(W246=1,W246=0),"0",(Q246-N246))</f>
        <v>0</v>
      </c>
      <c r="AA246" s="53" t="s">
        <v>749</v>
      </c>
      <c r="AB246" s="16" t="s">
        <v>750</v>
      </c>
      <c r="AC246" s="16">
        <v>200.27</v>
      </c>
      <c r="AD246" s="16">
        <v>1327.93</v>
      </c>
      <c r="AE246" s="16">
        <f>ROUND(AC246*100,0)</f>
        <v>20027</v>
      </c>
      <c r="AF246" s="16">
        <f>ROUND(AD246*100,0)</f>
        <v>132793</v>
      </c>
      <c r="AG246" s="19" t="str">
        <f>IF(AC246=AD246,"TAM",(CONCATENATE(AE246,"/",AF246)))</f>
        <v>20027/132793</v>
      </c>
      <c r="AH246" s="11" t="s">
        <v>50</v>
      </c>
      <c r="AI246" s="21" t="s">
        <v>50</v>
      </c>
      <c r="AJ246" s="71" t="s">
        <v>2425</v>
      </c>
      <c r="AK246" s="54" t="s">
        <v>50</v>
      </c>
      <c r="AL246" s="1" t="s">
        <v>50</v>
      </c>
    </row>
    <row r="247" spans="1:37" ht="23.25" customHeight="1">
      <c r="A247" s="43"/>
      <c r="B247" s="13"/>
      <c r="C247" s="13"/>
      <c r="D247" s="31"/>
      <c r="E247" s="34" t="s">
        <v>748</v>
      </c>
      <c r="F247" s="14"/>
      <c r="G247" s="14"/>
      <c r="H247" s="14"/>
      <c r="I247" s="31"/>
      <c r="J247" s="31"/>
      <c r="K247" s="15"/>
      <c r="L247" s="15"/>
      <c r="M247" s="15"/>
      <c r="N247" s="15"/>
      <c r="O247" s="15"/>
      <c r="P247" s="14"/>
      <c r="Q247" s="14"/>
      <c r="R247" s="14"/>
      <c r="S247" s="14"/>
      <c r="T247" s="14"/>
      <c r="U247" s="14"/>
      <c r="V247" s="14"/>
      <c r="W247" s="14"/>
      <c r="X247" s="14"/>
      <c r="Y247" s="13"/>
      <c r="Z247" s="44"/>
      <c r="AA247" s="43"/>
      <c r="AB247" s="13"/>
      <c r="AC247" s="13"/>
      <c r="AD247" s="13"/>
      <c r="AE247" s="13"/>
      <c r="AF247" s="13"/>
      <c r="AG247" s="13"/>
      <c r="AH247" s="13"/>
      <c r="AI247" s="13"/>
      <c r="AJ247" s="79"/>
      <c r="AK247" s="44"/>
    </row>
    <row r="248" spans="1:38" ht="12.75" customHeight="1">
      <c r="A248" s="41">
        <v>307</v>
      </c>
      <c r="B248" s="10">
        <v>1095</v>
      </c>
      <c r="C248" s="10" t="s">
        <v>751</v>
      </c>
      <c r="D248" s="16">
        <v>194.62</v>
      </c>
      <c r="E248" s="20" t="s">
        <v>752</v>
      </c>
      <c r="F248" s="20" t="s">
        <v>753</v>
      </c>
      <c r="G248" s="12">
        <v>1</v>
      </c>
      <c r="H248" s="12">
        <v>1</v>
      </c>
      <c r="I248" s="16">
        <f>ROUND(G248,0)</f>
        <v>1</v>
      </c>
      <c r="J248" s="16">
        <f>ROUND(H248,0)</f>
        <v>1</v>
      </c>
      <c r="K248" s="18" t="str">
        <f>IF(I248=J248,"TAM",(CONCATENATE(G248,"/",H248)))</f>
        <v>TAM</v>
      </c>
      <c r="L248" s="29">
        <f>194.62*1/1</f>
        <v>194.62</v>
      </c>
      <c r="M248" s="30">
        <v>0</v>
      </c>
      <c r="N248" s="16" t="str">
        <f>IF(M248=0,"0",(O248*M248))</f>
        <v>0</v>
      </c>
      <c r="O248" s="16">
        <f>IF(W248=1,L248,((D248*G248/H248)-P248)/(1-V248)-S248-T248)</f>
        <v>194.62</v>
      </c>
      <c r="P248" s="16">
        <v>0</v>
      </c>
      <c r="Q248" s="16">
        <f>IF(U248=0,"0",O248*U248)</f>
        <v>65.14951826027307</v>
      </c>
      <c r="R248" s="17">
        <f>IF(U248=0,(((D248*G248/H248)-P248-S248-T248)/(1-V248)),(((D248*G248/H248)-P248-S248-T248)/(1-V248))-((D248*G248/H248)-P248-S248-T248)*U248/(1-V248))</f>
        <v>129.47048173972695</v>
      </c>
      <c r="S248" s="12">
        <v>0</v>
      </c>
      <c r="T248" s="12">
        <v>0</v>
      </c>
      <c r="U248" s="12">
        <v>0.334752431714485</v>
      </c>
      <c r="V248" s="12">
        <v>0</v>
      </c>
      <c r="W248" s="28">
        <f>IF(V248&gt;U248,1,V248)</f>
        <v>0</v>
      </c>
      <c r="X248" s="12">
        <v>1</v>
      </c>
      <c r="Y248" s="16">
        <v>0</v>
      </c>
      <c r="Z248" s="42" t="str">
        <f>IF(OR(W248=1,W248=0),"0",(Q248-N248))</f>
        <v>0</v>
      </c>
      <c r="AA248" s="53" t="s">
        <v>754</v>
      </c>
      <c r="AB248" s="16" t="s">
        <v>755</v>
      </c>
      <c r="AC248" s="16">
        <v>129.47</v>
      </c>
      <c r="AD248" s="16">
        <v>1327.93</v>
      </c>
      <c r="AE248" s="16">
        <f>ROUND(AC248*100,0)</f>
        <v>12947</v>
      </c>
      <c r="AF248" s="16">
        <f>ROUND(AD248*100,0)</f>
        <v>132793</v>
      </c>
      <c r="AG248" s="19" t="str">
        <f>IF(AC248=AD248,"TAM",(CONCATENATE(AE248,"/",AF248)))</f>
        <v>12947/132793</v>
      </c>
      <c r="AH248" s="11" t="s">
        <v>50</v>
      </c>
      <c r="AI248" s="21" t="s">
        <v>50</v>
      </c>
      <c r="AJ248" s="71" t="s">
        <v>2425</v>
      </c>
      <c r="AK248" s="54" t="s">
        <v>50</v>
      </c>
      <c r="AL248" s="1" t="s">
        <v>50</v>
      </c>
    </row>
    <row r="249" spans="1:37" ht="12.75" customHeight="1">
      <c r="A249" s="43"/>
      <c r="B249" s="13"/>
      <c r="C249" s="13"/>
      <c r="D249" s="31"/>
      <c r="E249" s="14" t="s">
        <v>50</v>
      </c>
      <c r="F249" s="14"/>
      <c r="G249" s="14"/>
      <c r="H249" s="14"/>
      <c r="I249" s="31"/>
      <c r="J249" s="31"/>
      <c r="K249" s="15"/>
      <c r="L249" s="15"/>
      <c r="M249" s="15"/>
      <c r="N249" s="15"/>
      <c r="O249" s="15"/>
      <c r="P249" s="14"/>
      <c r="Q249" s="14"/>
      <c r="R249" s="14"/>
      <c r="S249" s="14"/>
      <c r="T249" s="14"/>
      <c r="U249" s="14"/>
      <c r="V249" s="14"/>
      <c r="W249" s="14"/>
      <c r="X249" s="14"/>
      <c r="Y249" s="13"/>
      <c r="Z249" s="44"/>
      <c r="AA249" s="43"/>
      <c r="AB249" s="13"/>
      <c r="AC249" s="13"/>
      <c r="AD249" s="13"/>
      <c r="AE249" s="13"/>
      <c r="AF249" s="13"/>
      <c r="AG249" s="13"/>
      <c r="AH249" s="13"/>
      <c r="AI249" s="13"/>
      <c r="AJ249" s="79"/>
      <c r="AK249" s="44"/>
    </row>
    <row r="250" spans="1:38" ht="12.75" customHeight="1">
      <c r="A250" s="41">
        <v>454</v>
      </c>
      <c r="B250" s="10">
        <v>1137</v>
      </c>
      <c r="C250" s="10" t="s">
        <v>756</v>
      </c>
      <c r="D250" s="16">
        <v>1635.97</v>
      </c>
      <c r="E250" s="20" t="s">
        <v>757</v>
      </c>
      <c r="F250" s="20" t="s">
        <v>758</v>
      </c>
      <c r="G250" s="12">
        <v>1</v>
      </c>
      <c r="H250" s="12">
        <v>3</v>
      </c>
      <c r="I250" s="16">
        <f>ROUND(G250,0)</f>
        <v>1</v>
      </c>
      <c r="J250" s="16">
        <f>ROUND(H250,0)</f>
        <v>3</v>
      </c>
      <c r="K250" s="18" t="str">
        <f>IF(I250=J250,"TAM",(CONCATENATE(G250,"/",H250)))</f>
        <v>1/3</v>
      </c>
      <c r="L250" s="29">
        <f>1635.97*1/3</f>
        <v>545.3233333333333</v>
      </c>
      <c r="M250" s="30">
        <v>0</v>
      </c>
      <c r="N250" s="16" t="str">
        <f>IF(M250=0,"0",(O250*M250))</f>
        <v>0</v>
      </c>
      <c r="O250" s="16">
        <f>IF(W250=1,L250,((D250*G250/H250)-P250)/(1-V250)-S250-T250)</f>
        <v>545.3233333333334</v>
      </c>
      <c r="P250" s="16">
        <v>0</v>
      </c>
      <c r="Q250" s="16">
        <f>IF(U250=0,"0",O250*U250)</f>
        <v>182.548311903982</v>
      </c>
      <c r="R250" s="17">
        <f>IF(U250=0,(((D250*G250/H250)-P250-S250-T250)/(1-V250)),(((D250*G250/H250)-P250-S250-T250)/(1-V250))-((D250*G250/H250)-P250-S250-T250)*U250/(1-V250))</f>
        <v>362.77502142935134</v>
      </c>
      <c r="S250" s="12">
        <v>0</v>
      </c>
      <c r="T250" s="12">
        <v>0</v>
      </c>
      <c r="U250" s="12">
        <v>0.334752431714485</v>
      </c>
      <c r="V250" s="12">
        <v>0</v>
      </c>
      <c r="W250" s="28">
        <f>IF(V250&gt;U250,1,V250)</f>
        <v>0</v>
      </c>
      <c r="X250" s="12">
        <v>1</v>
      </c>
      <c r="Y250" s="16">
        <v>0</v>
      </c>
      <c r="Z250" s="42" t="str">
        <f>IF(OR(W250=1,W250=0),"0",(Q250-N250))</f>
        <v>0</v>
      </c>
      <c r="AA250" s="53" t="s">
        <v>759</v>
      </c>
      <c r="AB250" s="16" t="s">
        <v>760</v>
      </c>
      <c r="AC250" s="16">
        <v>6.7</v>
      </c>
      <c r="AD250" s="16">
        <v>1327.93</v>
      </c>
      <c r="AE250" s="16">
        <f>ROUND(AC250*100,0)</f>
        <v>670</v>
      </c>
      <c r="AF250" s="16">
        <f>ROUND(AD250*100,0)</f>
        <v>132793</v>
      </c>
      <c r="AG250" s="19" t="str">
        <f>IF(AC250=AD250,"TAM",(CONCATENATE(AE250,"/",AF250)))</f>
        <v>670/132793</v>
      </c>
      <c r="AH250" s="11" t="s">
        <v>50</v>
      </c>
      <c r="AI250" s="21" t="s">
        <v>50</v>
      </c>
      <c r="AJ250" s="71" t="s">
        <v>2425</v>
      </c>
      <c r="AK250" s="54" t="s">
        <v>50</v>
      </c>
      <c r="AL250" s="1" t="s">
        <v>50</v>
      </c>
    </row>
    <row r="251" spans="1:37" ht="12.75" customHeight="1">
      <c r="A251" s="43"/>
      <c r="B251" s="13"/>
      <c r="C251" s="13"/>
      <c r="D251" s="31"/>
      <c r="E251" s="14" t="s">
        <v>50</v>
      </c>
      <c r="F251" s="14"/>
      <c r="G251" s="14"/>
      <c r="H251" s="14"/>
      <c r="I251" s="31"/>
      <c r="J251" s="31"/>
      <c r="K251" s="15"/>
      <c r="L251" s="15"/>
      <c r="M251" s="15"/>
      <c r="N251" s="15"/>
      <c r="O251" s="15"/>
      <c r="P251" s="14"/>
      <c r="Q251" s="14"/>
      <c r="R251" s="14"/>
      <c r="S251" s="14"/>
      <c r="T251" s="14"/>
      <c r="U251" s="14"/>
      <c r="V251" s="14"/>
      <c r="W251" s="14"/>
      <c r="X251" s="14"/>
      <c r="Y251" s="13"/>
      <c r="Z251" s="44"/>
      <c r="AA251" s="43"/>
      <c r="AB251" s="13"/>
      <c r="AC251" s="13"/>
      <c r="AD251" s="13"/>
      <c r="AE251" s="13"/>
      <c r="AF251" s="13"/>
      <c r="AG251" s="13"/>
      <c r="AH251" s="13"/>
      <c r="AI251" s="13"/>
      <c r="AJ251" s="79"/>
      <c r="AK251" s="44"/>
    </row>
    <row r="252" spans="1:38" ht="12.75" customHeight="1">
      <c r="A252" s="41">
        <v>452</v>
      </c>
      <c r="B252" s="10">
        <v>1137</v>
      </c>
      <c r="C252" s="10" t="s">
        <v>761</v>
      </c>
      <c r="D252" s="16">
        <v>1635.97</v>
      </c>
      <c r="E252" s="20" t="s">
        <v>762</v>
      </c>
      <c r="F252" s="20" t="s">
        <v>763</v>
      </c>
      <c r="G252" s="12">
        <v>1</v>
      </c>
      <c r="H252" s="12">
        <v>3</v>
      </c>
      <c r="I252" s="16">
        <f>ROUND(G252,0)</f>
        <v>1</v>
      </c>
      <c r="J252" s="16">
        <f>ROUND(H252,0)</f>
        <v>3</v>
      </c>
      <c r="K252" s="18" t="str">
        <f>IF(I252=J252,"TAM",(CONCATENATE(G252,"/",H252)))</f>
        <v>1/3</v>
      </c>
      <c r="L252" s="29">
        <f>1635.97*1/3</f>
        <v>545.3233333333333</v>
      </c>
      <c r="M252" s="30">
        <v>0</v>
      </c>
      <c r="N252" s="16" t="str">
        <f>IF(M252=0,"0",(O252*M252))</f>
        <v>0</v>
      </c>
      <c r="O252" s="16">
        <f>IF(W252=1,L252,((D252*G252/H252)-P252)/(1-V252)-S252-T252)</f>
        <v>545.3233333333334</v>
      </c>
      <c r="P252" s="16">
        <v>0</v>
      </c>
      <c r="Q252" s="16">
        <f>IF(U252=0,"0",O252*U252)</f>
        <v>182.548311903982</v>
      </c>
      <c r="R252" s="17">
        <f>IF(U252=0,(((D252*G252/H252)-P252-S252-T252)/(1-V252)),(((D252*G252/H252)-P252-S252-T252)/(1-V252))-((D252*G252/H252)-P252-S252-T252)*U252/(1-V252))</f>
        <v>362.77502142935134</v>
      </c>
      <c r="S252" s="12">
        <v>0</v>
      </c>
      <c r="T252" s="12">
        <v>0</v>
      </c>
      <c r="U252" s="12">
        <v>0.334752431714485</v>
      </c>
      <c r="V252" s="12">
        <v>0</v>
      </c>
      <c r="W252" s="28">
        <f>IF(V252&gt;U252,1,V252)</f>
        <v>0</v>
      </c>
      <c r="X252" s="12">
        <v>1</v>
      </c>
      <c r="Y252" s="16">
        <v>0</v>
      </c>
      <c r="Z252" s="42" t="str">
        <f>IF(OR(W252=1,W252=0),"0",(Q252-N252))</f>
        <v>0</v>
      </c>
      <c r="AA252" s="53" t="s">
        <v>764</v>
      </c>
      <c r="AB252" s="16" t="s">
        <v>765</v>
      </c>
      <c r="AC252" s="16">
        <v>6.69</v>
      </c>
      <c r="AD252" s="16">
        <v>1327.93</v>
      </c>
      <c r="AE252" s="16">
        <f>ROUND(AC252*100,0)</f>
        <v>669</v>
      </c>
      <c r="AF252" s="16">
        <f>ROUND(AD252*100,0)</f>
        <v>132793</v>
      </c>
      <c r="AG252" s="19" t="str">
        <f>IF(AC252=AD252,"TAM",(CONCATENATE(AE252,"/",AF252)))</f>
        <v>669/132793</v>
      </c>
      <c r="AH252" s="11" t="s">
        <v>50</v>
      </c>
      <c r="AI252" s="21" t="s">
        <v>50</v>
      </c>
      <c r="AJ252" s="71" t="s">
        <v>2425</v>
      </c>
      <c r="AK252" s="54" t="s">
        <v>50</v>
      </c>
      <c r="AL252" s="1" t="s">
        <v>50</v>
      </c>
    </row>
    <row r="253" spans="1:37" ht="12.75" customHeight="1">
      <c r="A253" s="43"/>
      <c r="B253" s="13"/>
      <c r="C253" s="13"/>
      <c r="D253" s="31"/>
      <c r="E253" s="14" t="s">
        <v>50</v>
      </c>
      <c r="F253" s="14"/>
      <c r="G253" s="14"/>
      <c r="H253" s="14"/>
      <c r="I253" s="31"/>
      <c r="J253" s="31"/>
      <c r="K253" s="15"/>
      <c r="L253" s="15"/>
      <c r="M253" s="15"/>
      <c r="N253" s="15"/>
      <c r="O253" s="15"/>
      <c r="P253" s="14"/>
      <c r="Q253" s="14"/>
      <c r="R253" s="14"/>
      <c r="S253" s="14"/>
      <c r="T253" s="14"/>
      <c r="U253" s="14"/>
      <c r="V253" s="14"/>
      <c r="W253" s="14"/>
      <c r="X253" s="14"/>
      <c r="Y253" s="13"/>
      <c r="Z253" s="44"/>
      <c r="AA253" s="43"/>
      <c r="AB253" s="13"/>
      <c r="AC253" s="13"/>
      <c r="AD253" s="13"/>
      <c r="AE253" s="13"/>
      <c r="AF253" s="13"/>
      <c r="AG253" s="13"/>
      <c r="AH253" s="13"/>
      <c r="AI253" s="13"/>
      <c r="AJ253" s="79"/>
      <c r="AK253" s="44"/>
    </row>
    <row r="254" spans="1:38" ht="12.75" customHeight="1">
      <c r="A254" s="41">
        <v>453</v>
      </c>
      <c r="B254" s="10">
        <v>1137</v>
      </c>
      <c r="C254" s="10" t="s">
        <v>766</v>
      </c>
      <c r="D254" s="16">
        <v>1635.97</v>
      </c>
      <c r="E254" s="20" t="s">
        <v>767</v>
      </c>
      <c r="F254" s="20" t="s">
        <v>768</v>
      </c>
      <c r="G254" s="12">
        <v>1</v>
      </c>
      <c r="H254" s="12">
        <v>3</v>
      </c>
      <c r="I254" s="16">
        <f>ROUND(G254,0)</f>
        <v>1</v>
      </c>
      <c r="J254" s="16">
        <f>ROUND(H254,0)</f>
        <v>3</v>
      </c>
      <c r="K254" s="18" t="str">
        <f>IF(I254=J254,"TAM",(CONCATENATE(G254,"/",H254)))</f>
        <v>1/3</v>
      </c>
      <c r="L254" s="29">
        <f>1635.97*1/3</f>
        <v>545.3233333333333</v>
      </c>
      <c r="M254" s="30">
        <v>0</v>
      </c>
      <c r="N254" s="16" t="str">
        <f>IF(M254=0,"0",(O254*M254))</f>
        <v>0</v>
      </c>
      <c r="O254" s="16">
        <f>IF(W254=1,L254,((D254*G254/H254)-P254)/(1-V254)-S254-T254)</f>
        <v>545.3233333333334</v>
      </c>
      <c r="P254" s="16">
        <v>0</v>
      </c>
      <c r="Q254" s="16">
        <f>IF(U254=0,"0",O254*U254)</f>
        <v>182.548311903982</v>
      </c>
      <c r="R254" s="17">
        <f>IF(U254=0,(((D254*G254/H254)-P254-S254-T254)/(1-V254)),(((D254*G254/H254)-P254-S254-T254)/(1-V254))-((D254*G254/H254)-P254-S254-T254)*U254/(1-V254))</f>
        <v>362.77502142935134</v>
      </c>
      <c r="S254" s="12">
        <v>0</v>
      </c>
      <c r="T254" s="12">
        <v>0</v>
      </c>
      <c r="U254" s="12">
        <v>0.334752431714485</v>
      </c>
      <c r="V254" s="12">
        <v>0</v>
      </c>
      <c r="W254" s="28">
        <f>IF(V254&gt;U254,1,V254)</f>
        <v>0</v>
      </c>
      <c r="X254" s="12">
        <v>1</v>
      </c>
      <c r="Y254" s="16">
        <v>0</v>
      </c>
      <c r="Z254" s="42" t="str">
        <f>IF(OR(W254=1,W254=0),"0",(Q254-N254))</f>
        <v>0</v>
      </c>
      <c r="AA254" s="53" t="s">
        <v>769</v>
      </c>
      <c r="AB254" s="16" t="s">
        <v>770</v>
      </c>
      <c r="AC254" s="16">
        <v>6.7</v>
      </c>
      <c r="AD254" s="16">
        <v>1327.93</v>
      </c>
      <c r="AE254" s="16">
        <f>ROUND(AC254*100,0)</f>
        <v>670</v>
      </c>
      <c r="AF254" s="16">
        <f>ROUND(AD254*100,0)</f>
        <v>132793</v>
      </c>
      <c r="AG254" s="19" t="str">
        <f>IF(AC254=AD254,"TAM",(CONCATENATE(AE254,"/",AF254)))</f>
        <v>670/132793</v>
      </c>
      <c r="AH254" s="11" t="s">
        <v>50</v>
      </c>
      <c r="AI254" s="21" t="s">
        <v>50</v>
      </c>
      <c r="AJ254" s="71" t="s">
        <v>2425</v>
      </c>
      <c r="AK254" s="54" t="s">
        <v>50</v>
      </c>
      <c r="AL254" s="1" t="s">
        <v>50</v>
      </c>
    </row>
    <row r="255" spans="1:37" ht="12.75" customHeight="1">
      <c r="A255" s="43"/>
      <c r="B255" s="13"/>
      <c r="C255" s="13"/>
      <c r="D255" s="31"/>
      <c r="E255" s="14" t="s">
        <v>50</v>
      </c>
      <c r="F255" s="14"/>
      <c r="G255" s="14"/>
      <c r="H255" s="14"/>
      <c r="I255" s="31"/>
      <c r="J255" s="31"/>
      <c r="K255" s="15"/>
      <c r="L255" s="15"/>
      <c r="M255" s="15"/>
      <c r="N255" s="15"/>
      <c r="O255" s="15"/>
      <c r="P255" s="14"/>
      <c r="Q255" s="14"/>
      <c r="R255" s="14"/>
      <c r="S255" s="14"/>
      <c r="T255" s="14"/>
      <c r="U255" s="14"/>
      <c r="V255" s="14"/>
      <c r="W255" s="14"/>
      <c r="X255" s="14"/>
      <c r="Y255" s="13"/>
      <c r="Z255" s="44"/>
      <c r="AA255" s="43"/>
      <c r="AB255" s="13"/>
      <c r="AC255" s="13"/>
      <c r="AD255" s="13"/>
      <c r="AE255" s="13"/>
      <c r="AF255" s="13"/>
      <c r="AG255" s="13"/>
      <c r="AH255" s="13"/>
      <c r="AI255" s="13"/>
      <c r="AJ255" s="79"/>
      <c r="AK255" s="44"/>
    </row>
    <row r="256" spans="1:38" ht="12.75" customHeight="1">
      <c r="A256" s="41">
        <v>460</v>
      </c>
      <c r="B256" s="10">
        <v>1140</v>
      </c>
      <c r="C256" s="10" t="s">
        <v>771</v>
      </c>
      <c r="D256" s="16">
        <v>1667.3</v>
      </c>
      <c r="E256" s="20" t="s">
        <v>772</v>
      </c>
      <c r="F256" s="20" t="s">
        <v>773</v>
      </c>
      <c r="G256" s="12">
        <v>1</v>
      </c>
      <c r="H256" s="12">
        <v>2</v>
      </c>
      <c r="I256" s="16">
        <f>ROUND(G256,0)</f>
        <v>1</v>
      </c>
      <c r="J256" s="16">
        <f>ROUND(H256,0)</f>
        <v>2</v>
      </c>
      <c r="K256" s="18" t="str">
        <f>IF(I256=J256,"TAM",(CONCATENATE(G256,"/",H256)))</f>
        <v>1/2</v>
      </c>
      <c r="L256" s="29">
        <f>1667.3*1/2</f>
        <v>833.65</v>
      </c>
      <c r="M256" s="30">
        <v>0</v>
      </c>
      <c r="N256" s="16" t="str">
        <f>IF(M256=0,"0",(O256*M256))</f>
        <v>0</v>
      </c>
      <c r="O256" s="16">
        <f>IF(W256=1,L256,((D256*G256/H256)-P256)/(1-V256)-S256-T256)</f>
        <v>833.65</v>
      </c>
      <c r="P256" s="16">
        <v>0</v>
      </c>
      <c r="Q256" s="16">
        <f>IF(U256=0,"0",O256*U256)</f>
        <v>279.0663646987804</v>
      </c>
      <c r="R256" s="17">
        <f>IF(U256=0,(((D256*G256/H256)-P256-S256-T256)/(1-V256)),(((D256*G256/H256)-P256-S256-T256)/(1-V256))-((D256*G256/H256)-P256-S256-T256)*U256/(1-V256))</f>
        <v>554.5836353012196</v>
      </c>
      <c r="S256" s="12">
        <v>0</v>
      </c>
      <c r="T256" s="12">
        <v>0</v>
      </c>
      <c r="U256" s="12">
        <v>0.334752431714485</v>
      </c>
      <c r="V256" s="12">
        <v>0</v>
      </c>
      <c r="W256" s="28">
        <f>IF(V256&gt;U256,1,V256)</f>
        <v>0</v>
      </c>
      <c r="X256" s="12">
        <v>1</v>
      </c>
      <c r="Y256" s="16">
        <v>0</v>
      </c>
      <c r="Z256" s="42" t="str">
        <f>IF(OR(W256=1,W256=0),"0",(Q256-N256))</f>
        <v>0</v>
      </c>
      <c r="AA256" s="53" t="s">
        <v>774</v>
      </c>
      <c r="AB256" s="16" t="s">
        <v>775</v>
      </c>
      <c r="AC256" s="16">
        <v>43.95</v>
      </c>
      <c r="AD256" s="16">
        <v>1327.93</v>
      </c>
      <c r="AE256" s="16">
        <f>ROUND(AC256*100,0)</f>
        <v>4395</v>
      </c>
      <c r="AF256" s="16">
        <f>ROUND(AD256*100,0)</f>
        <v>132793</v>
      </c>
      <c r="AG256" s="19" t="str">
        <f>IF(AC256=AD256,"TAM",(CONCATENATE(AE256,"/",AF256)))</f>
        <v>4395/132793</v>
      </c>
      <c r="AH256" s="11" t="s">
        <v>50</v>
      </c>
      <c r="AI256" s="21" t="s">
        <v>50</v>
      </c>
      <c r="AJ256" s="71" t="s">
        <v>2425</v>
      </c>
      <c r="AK256" s="54" t="s">
        <v>50</v>
      </c>
      <c r="AL256" s="1" t="s">
        <v>50</v>
      </c>
    </row>
    <row r="257" spans="1:37" ht="12.75" customHeight="1">
      <c r="A257" s="43"/>
      <c r="B257" s="13"/>
      <c r="C257" s="13"/>
      <c r="D257" s="31"/>
      <c r="E257" s="14" t="s">
        <v>50</v>
      </c>
      <c r="F257" s="14"/>
      <c r="G257" s="14"/>
      <c r="H257" s="14"/>
      <c r="I257" s="31"/>
      <c r="J257" s="31"/>
      <c r="K257" s="15"/>
      <c r="L257" s="15"/>
      <c r="M257" s="15"/>
      <c r="N257" s="15"/>
      <c r="O257" s="15"/>
      <c r="P257" s="14"/>
      <c r="Q257" s="14"/>
      <c r="R257" s="14"/>
      <c r="S257" s="14"/>
      <c r="T257" s="14"/>
      <c r="U257" s="14"/>
      <c r="V257" s="14"/>
      <c r="W257" s="14"/>
      <c r="X257" s="14"/>
      <c r="Y257" s="13"/>
      <c r="Z257" s="44"/>
      <c r="AA257" s="43"/>
      <c r="AB257" s="13"/>
      <c r="AC257" s="13"/>
      <c r="AD257" s="13"/>
      <c r="AE257" s="13"/>
      <c r="AF257" s="13"/>
      <c r="AG257" s="13"/>
      <c r="AH257" s="13"/>
      <c r="AI257" s="13"/>
      <c r="AJ257" s="79"/>
      <c r="AK257" s="44"/>
    </row>
    <row r="258" spans="1:38" ht="12.75" customHeight="1">
      <c r="A258" s="41">
        <v>459</v>
      </c>
      <c r="B258" s="10">
        <v>1140</v>
      </c>
      <c r="C258" s="10" t="s">
        <v>776</v>
      </c>
      <c r="D258" s="16">
        <v>1667.3</v>
      </c>
      <c r="E258" s="20" t="s">
        <v>777</v>
      </c>
      <c r="F258" s="20" t="s">
        <v>778</v>
      </c>
      <c r="G258" s="12">
        <v>1</v>
      </c>
      <c r="H258" s="12">
        <v>2</v>
      </c>
      <c r="I258" s="16">
        <f>ROUND(G258,0)</f>
        <v>1</v>
      </c>
      <c r="J258" s="16">
        <f>ROUND(H258,0)</f>
        <v>2</v>
      </c>
      <c r="K258" s="18" t="str">
        <f>IF(I258=J258,"TAM",(CONCATENATE(G258,"/",H258)))</f>
        <v>1/2</v>
      </c>
      <c r="L258" s="29">
        <f>1667.3*1/2</f>
        <v>833.65</v>
      </c>
      <c r="M258" s="30">
        <v>0</v>
      </c>
      <c r="N258" s="16" t="str">
        <f>IF(M258=0,"0",(O258*M258))</f>
        <v>0</v>
      </c>
      <c r="O258" s="16">
        <f>IF(W258=1,L258,((D258*G258/H258)-P258)/(1-V258)-S258-T258)</f>
        <v>833.65</v>
      </c>
      <c r="P258" s="16">
        <v>0</v>
      </c>
      <c r="Q258" s="16">
        <f>IF(U258=0,"0",O258*U258)</f>
        <v>279.0663646987804</v>
      </c>
      <c r="R258" s="17">
        <f>IF(U258=0,(((D258*G258/H258)-P258-S258-T258)/(1-V258)),(((D258*G258/H258)-P258-S258-T258)/(1-V258))-((D258*G258/H258)-P258-S258-T258)*U258/(1-V258))</f>
        <v>554.5836353012196</v>
      </c>
      <c r="S258" s="12">
        <v>0</v>
      </c>
      <c r="T258" s="12">
        <v>0</v>
      </c>
      <c r="U258" s="12">
        <v>0.334752431714485</v>
      </c>
      <c r="V258" s="12">
        <v>0</v>
      </c>
      <c r="W258" s="28">
        <f>IF(V258&gt;U258,1,V258)</f>
        <v>0</v>
      </c>
      <c r="X258" s="12">
        <v>1</v>
      </c>
      <c r="Y258" s="16">
        <v>0</v>
      </c>
      <c r="Z258" s="42" t="str">
        <f>IF(OR(W258=1,W258=0),"0",(Q258-N258))</f>
        <v>0</v>
      </c>
      <c r="AA258" s="53" t="s">
        <v>779</v>
      </c>
      <c r="AB258" s="16" t="s">
        <v>780</v>
      </c>
      <c r="AC258" s="16">
        <v>43.95</v>
      </c>
      <c r="AD258" s="16">
        <v>1327.93</v>
      </c>
      <c r="AE258" s="16">
        <f>ROUND(AC258*100,0)</f>
        <v>4395</v>
      </c>
      <c r="AF258" s="16">
        <f>ROUND(AD258*100,0)</f>
        <v>132793</v>
      </c>
      <c r="AG258" s="19" t="str">
        <f>IF(AC258=AD258,"TAM",(CONCATENATE(AE258,"/",AF258)))</f>
        <v>4395/132793</v>
      </c>
      <c r="AH258" s="11" t="s">
        <v>50</v>
      </c>
      <c r="AI258" s="21" t="s">
        <v>50</v>
      </c>
      <c r="AJ258" s="71" t="s">
        <v>2425</v>
      </c>
      <c r="AK258" s="54" t="s">
        <v>50</v>
      </c>
      <c r="AL258" s="1" t="s">
        <v>50</v>
      </c>
    </row>
    <row r="259" spans="1:37" ht="12.75" customHeight="1">
      <c r="A259" s="43"/>
      <c r="B259" s="13"/>
      <c r="C259" s="13"/>
      <c r="D259" s="31"/>
      <c r="E259" s="14" t="s">
        <v>50</v>
      </c>
      <c r="F259" s="14"/>
      <c r="G259" s="14"/>
      <c r="H259" s="14"/>
      <c r="I259" s="31"/>
      <c r="J259" s="31"/>
      <c r="K259" s="15"/>
      <c r="L259" s="15"/>
      <c r="M259" s="15"/>
      <c r="N259" s="15"/>
      <c r="O259" s="15"/>
      <c r="P259" s="14"/>
      <c r="Q259" s="14"/>
      <c r="R259" s="14"/>
      <c r="S259" s="14"/>
      <c r="T259" s="14"/>
      <c r="U259" s="14"/>
      <c r="V259" s="14"/>
      <c r="W259" s="14"/>
      <c r="X259" s="14"/>
      <c r="Y259" s="13"/>
      <c r="Z259" s="44"/>
      <c r="AA259" s="43"/>
      <c r="AB259" s="13"/>
      <c r="AC259" s="13"/>
      <c r="AD259" s="13"/>
      <c r="AE259" s="13"/>
      <c r="AF259" s="13"/>
      <c r="AG259" s="13"/>
      <c r="AH259" s="13"/>
      <c r="AI259" s="13"/>
      <c r="AJ259" s="79"/>
      <c r="AK259" s="44"/>
    </row>
    <row r="260" spans="1:38" ht="12.75" customHeight="1">
      <c r="A260" s="41">
        <v>318</v>
      </c>
      <c r="B260" s="10">
        <v>1100</v>
      </c>
      <c r="C260" s="10" t="s">
        <v>781</v>
      </c>
      <c r="D260" s="16">
        <v>2079.7</v>
      </c>
      <c r="E260" s="20" t="s">
        <v>782</v>
      </c>
      <c r="F260" s="20" t="s">
        <v>783</v>
      </c>
      <c r="G260" s="12">
        <v>3</v>
      </c>
      <c r="H260" s="12">
        <v>14</v>
      </c>
      <c r="I260" s="16">
        <f>ROUND(G260,0)</f>
        <v>3</v>
      </c>
      <c r="J260" s="16">
        <f>ROUND(H260,0)</f>
        <v>14</v>
      </c>
      <c r="K260" s="18" t="str">
        <f>IF(I260=J260,"TAM",(CONCATENATE(G260,"/",H260)))</f>
        <v>3/14</v>
      </c>
      <c r="L260" s="29">
        <f>2079.7*3/14</f>
        <v>445.6499999999999</v>
      </c>
      <c r="M260" s="30">
        <v>0</v>
      </c>
      <c r="N260" s="16" t="str">
        <f>IF(M260=0,"0",(O260*M260))</f>
        <v>0</v>
      </c>
      <c r="O260" s="16">
        <f>IF(W260=1,L260,((D260*G260/H260)-P260)/(1-V260)-S260-T260)</f>
        <v>445.65</v>
      </c>
      <c r="P260" s="16">
        <v>0</v>
      </c>
      <c r="Q260" s="16">
        <f>IF(U260=0,"0",O260*U260)</f>
        <v>149.18242119356023</v>
      </c>
      <c r="R260" s="17">
        <f>IF(U260=0,(((D260*G260/H260)-P260-S260-T260)/(1-V260)),(((D260*G260/H260)-P260-S260-T260)/(1-V260))-((D260*G260/H260)-P260-S260-T260)*U260/(1-V260))</f>
        <v>296.46757880643975</v>
      </c>
      <c r="S260" s="12">
        <v>0</v>
      </c>
      <c r="T260" s="12">
        <v>0</v>
      </c>
      <c r="U260" s="12">
        <v>0.334752431714485</v>
      </c>
      <c r="V260" s="12">
        <v>0</v>
      </c>
      <c r="W260" s="28">
        <f>IF(V260&gt;U260,1,V260)</f>
        <v>0</v>
      </c>
      <c r="X260" s="12">
        <v>1</v>
      </c>
      <c r="Y260" s="16">
        <v>0</v>
      </c>
      <c r="Z260" s="42" t="str">
        <f>IF(OR(W260=1,W260=0),"0",(Q260-N260))</f>
        <v>0</v>
      </c>
      <c r="AA260" s="53" t="s">
        <v>784</v>
      </c>
      <c r="AB260" s="16" t="s">
        <v>786</v>
      </c>
      <c r="AC260" s="16">
        <v>216.49</v>
      </c>
      <c r="AD260" s="16">
        <v>1010.34</v>
      </c>
      <c r="AE260" s="16">
        <f>ROUND(AC260*100,0)</f>
        <v>21649</v>
      </c>
      <c r="AF260" s="16">
        <f>ROUND(AD260*100,0)</f>
        <v>101034</v>
      </c>
      <c r="AG260" s="19" t="str">
        <f>IF(AC260=AD260,"TAM",(CONCATENATE(AE260,"/",AF260)))</f>
        <v>21649/101034</v>
      </c>
      <c r="AH260" s="11" t="s">
        <v>50</v>
      </c>
      <c r="AI260" s="21" t="s">
        <v>50</v>
      </c>
      <c r="AJ260" s="21" t="s">
        <v>785</v>
      </c>
      <c r="AK260" s="54" t="s">
        <v>50</v>
      </c>
      <c r="AL260" s="1" t="s">
        <v>50</v>
      </c>
    </row>
    <row r="261" spans="1:37" ht="12.75" customHeight="1">
      <c r="A261" s="43"/>
      <c r="B261" s="13"/>
      <c r="C261" s="13"/>
      <c r="D261" s="31"/>
      <c r="E261" s="14" t="s">
        <v>50</v>
      </c>
      <c r="F261" s="14"/>
      <c r="G261" s="14"/>
      <c r="H261" s="14"/>
      <c r="I261" s="31"/>
      <c r="J261" s="31"/>
      <c r="K261" s="15"/>
      <c r="L261" s="15"/>
      <c r="M261" s="15"/>
      <c r="N261" s="15"/>
      <c r="O261" s="15"/>
      <c r="P261" s="14"/>
      <c r="Q261" s="14"/>
      <c r="R261" s="14"/>
      <c r="S261" s="14"/>
      <c r="T261" s="14"/>
      <c r="U261" s="14"/>
      <c r="V261" s="14"/>
      <c r="W261" s="14"/>
      <c r="X261" s="14"/>
      <c r="Y261" s="13"/>
      <c r="Z261" s="44"/>
      <c r="AA261" s="43"/>
      <c r="AB261" s="13"/>
      <c r="AC261" s="13"/>
      <c r="AD261" s="13"/>
      <c r="AE261" s="13"/>
      <c r="AF261" s="13"/>
      <c r="AG261" s="13"/>
      <c r="AH261" s="13"/>
      <c r="AI261" s="13"/>
      <c r="AJ261" s="13"/>
      <c r="AK261" s="44"/>
    </row>
    <row r="262" spans="1:38" ht="12.75" customHeight="1">
      <c r="A262" s="41">
        <v>317</v>
      </c>
      <c r="B262" s="10">
        <v>1100</v>
      </c>
      <c r="C262" s="10" t="s">
        <v>787</v>
      </c>
      <c r="D262" s="16">
        <v>2079.7</v>
      </c>
      <c r="E262" s="20" t="s">
        <v>788</v>
      </c>
      <c r="F262" s="20" t="s">
        <v>789</v>
      </c>
      <c r="G262" s="12">
        <v>3</v>
      </c>
      <c r="H262" s="12">
        <v>14</v>
      </c>
      <c r="I262" s="16">
        <f>ROUND(G262,0)</f>
        <v>3</v>
      </c>
      <c r="J262" s="16">
        <f>ROUND(H262,0)</f>
        <v>14</v>
      </c>
      <c r="K262" s="18" t="str">
        <f>IF(I262=J262,"TAM",(CONCATENATE(G262,"/",H262)))</f>
        <v>3/14</v>
      </c>
      <c r="L262" s="29">
        <f>2079.7*3/14</f>
        <v>445.6499999999999</v>
      </c>
      <c r="M262" s="30">
        <v>0</v>
      </c>
      <c r="N262" s="16" t="str">
        <f>IF(M262=0,"0",(O262*M262))</f>
        <v>0</v>
      </c>
      <c r="O262" s="16">
        <f>IF(W262=1,L262,((D262*G262/H262)-P262)/(1-V262)-S262-T262)</f>
        <v>445.65</v>
      </c>
      <c r="P262" s="16">
        <v>0</v>
      </c>
      <c r="Q262" s="16">
        <f>IF(U262=0,"0",O262*U262)</f>
        <v>149.18242119356023</v>
      </c>
      <c r="R262" s="17">
        <f>IF(U262=0,(((D262*G262/H262)-P262-S262-T262)/(1-V262)),(((D262*G262/H262)-P262-S262-T262)/(1-V262))-((D262*G262/H262)-P262-S262-T262)*U262/(1-V262))</f>
        <v>296.46757880643975</v>
      </c>
      <c r="S262" s="12">
        <v>0</v>
      </c>
      <c r="T262" s="12">
        <v>0</v>
      </c>
      <c r="U262" s="12">
        <v>0.334752431714485</v>
      </c>
      <c r="V262" s="12">
        <v>0</v>
      </c>
      <c r="W262" s="28">
        <f>IF(V262&gt;U262,1,V262)</f>
        <v>0</v>
      </c>
      <c r="X262" s="12">
        <v>1</v>
      </c>
      <c r="Y262" s="16">
        <v>0</v>
      </c>
      <c r="Z262" s="42" t="str">
        <f>IF(OR(W262=1,W262=0),"0",(Q262-N262))</f>
        <v>0</v>
      </c>
      <c r="AA262" s="53" t="s">
        <v>790</v>
      </c>
      <c r="AB262" s="16" t="s">
        <v>792</v>
      </c>
      <c r="AC262" s="16">
        <v>216.5</v>
      </c>
      <c r="AD262" s="16">
        <v>1010.34</v>
      </c>
      <c r="AE262" s="16">
        <f>ROUND(AC262*100,0)</f>
        <v>21650</v>
      </c>
      <c r="AF262" s="16">
        <f>ROUND(AD262*100,0)</f>
        <v>101034</v>
      </c>
      <c r="AG262" s="19" t="str">
        <f>IF(AC262=AD262,"TAM",(CONCATENATE(AE262,"/",AF262)))</f>
        <v>21650/101034</v>
      </c>
      <c r="AH262" s="11" t="s">
        <v>50</v>
      </c>
      <c r="AI262" s="21" t="s">
        <v>50</v>
      </c>
      <c r="AJ262" s="21" t="s">
        <v>791</v>
      </c>
      <c r="AK262" s="54" t="s">
        <v>50</v>
      </c>
      <c r="AL262" s="1" t="s">
        <v>50</v>
      </c>
    </row>
    <row r="263" spans="1:37" ht="12.75" customHeight="1">
      <c r="A263" s="43"/>
      <c r="B263" s="13"/>
      <c r="C263" s="13"/>
      <c r="D263" s="31"/>
      <c r="E263" s="14" t="s">
        <v>50</v>
      </c>
      <c r="F263" s="14"/>
      <c r="G263" s="14"/>
      <c r="H263" s="14"/>
      <c r="I263" s="31"/>
      <c r="J263" s="31"/>
      <c r="K263" s="15"/>
      <c r="L263" s="15"/>
      <c r="M263" s="15"/>
      <c r="N263" s="15"/>
      <c r="O263" s="15"/>
      <c r="P263" s="14"/>
      <c r="Q263" s="14"/>
      <c r="R263" s="14"/>
      <c r="S263" s="14"/>
      <c r="T263" s="14"/>
      <c r="U263" s="14"/>
      <c r="V263" s="14"/>
      <c r="W263" s="14"/>
      <c r="X263" s="14"/>
      <c r="Y263" s="13"/>
      <c r="Z263" s="44"/>
      <c r="AA263" s="43"/>
      <c r="AB263" s="13"/>
      <c r="AC263" s="13"/>
      <c r="AD263" s="13"/>
      <c r="AE263" s="13"/>
      <c r="AF263" s="13"/>
      <c r="AG263" s="13"/>
      <c r="AH263" s="13"/>
      <c r="AI263" s="13"/>
      <c r="AJ263" s="13"/>
      <c r="AK263" s="44"/>
    </row>
    <row r="264" spans="1:38" ht="12.75" customHeight="1">
      <c r="A264" s="41">
        <v>316</v>
      </c>
      <c r="B264" s="10">
        <v>1100</v>
      </c>
      <c r="C264" s="10" t="s">
        <v>793</v>
      </c>
      <c r="D264" s="16">
        <v>2079.7</v>
      </c>
      <c r="E264" s="20" t="s">
        <v>794</v>
      </c>
      <c r="F264" s="20" t="s">
        <v>795</v>
      </c>
      <c r="G264" s="12">
        <v>8</v>
      </c>
      <c r="H264" s="12">
        <v>14</v>
      </c>
      <c r="I264" s="16">
        <f>ROUND(G264,0)</f>
        <v>8</v>
      </c>
      <c r="J264" s="16">
        <f>ROUND(H264,0)</f>
        <v>14</v>
      </c>
      <c r="K264" s="18" t="str">
        <f>IF(I264=J264,"TAM",(CONCATENATE(G264,"/",H264)))</f>
        <v>8/14</v>
      </c>
      <c r="L264" s="29">
        <f>2079.7*8/14</f>
        <v>1188.3999999999999</v>
      </c>
      <c r="M264" s="30">
        <v>0</v>
      </c>
      <c r="N264" s="16" t="str">
        <f>IF(M264=0,"0",(O264*M264))</f>
        <v>0</v>
      </c>
      <c r="O264" s="16">
        <f>IF(W264=1,L264,((D264*G264/H264)-P264)/(1-V264)-S264-T264)</f>
        <v>1188.3999999999999</v>
      </c>
      <c r="P264" s="16">
        <v>0</v>
      </c>
      <c r="Q264" s="16">
        <f>IF(U264=0,"0",O264*U264)</f>
        <v>397.81978984949393</v>
      </c>
      <c r="R264" s="17">
        <f>IF(U264=0,(((D264*G264/H264)-P264-S264-T264)/(1-V264)),(((D264*G264/H264)-P264-S264-T264)/(1-V264))-((D264*G264/H264)-P264-S264-T264)*U264/(1-V264))</f>
        <v>790.580210150506</v>
      </c>
      <c r="S264" s="12">
        <v>0</v>
      </c>
      <c r="T264" s="12">
        <v>0</v>
      </c>
      <c r="U264" s="12">
        <v>0.334752431714485</v>
      </c>
      <c r="V264" s="12">
        <v>0</v>
      </c>
      <c r="W264" s="28">
        <f>IF(V264&gt;U264,1,V264)</f>
        <v>0</v>
      </c>
      <c r="X264" s="12">
        <v>1</v>
      </c>
      <c r="Y264" s="16">
        <v>0</v>
      </c>
      <c r="Z264" s="42" t="str">
        <f>IF(OR(W264=1,W264=0),"0",(Q264-N264))</f>
        <v>0</v>
      </c>
      <c r="AA264" s="53" t="s">
        <v>796</v>
      </c>
      <c r="AB264" s="16" t="s">
        <v>798</v>
      </c>
      <c r="AC264" s="16">
        <v>577.35</v>
      </c>
      <c r="AD264" s="16">
        <v>1010.34</v>
      </c>
      <c r="AE264" s="16">
        <f>ROUND(AC264*100,0)</f>
        <v>57735</v>
      </c>
      <c r="AF264" s="16">
        <f>ROUND(AD264*100,0)</f>
        <v>101034</v>
      </c>
      <c r="AG264" s="19" t="str">
        <f>IF(AC264=AD264,"TAM",(CONCATENATE(AE264,"/",AF264)))</f>
        <v>57735/101034</v>
      </c>
      <c r="AH264" s="11" t="s">
        <v>50</v>
      </c>
      <c r="AI264" s="21" t="s">
        <v>50</v>
      </c>
      <c r="AJ264" s="21" t="s">
        <v>797</v>
      </c>
      <c r="AK264" s="54" t="s">
        <v>50</v>
      </c>
      <c r="AL264" s="1" t="s">
        <v>50</v>
      </c>
    </row>
    <row r="265" spans="1:37" ht="12.75" customHeight="1">
      <c r="A265" s="43"/>
      <c r="B265" s="13"/>
      <c r="C265" s="13"/>
      <c r="D265" s="31"/>
      <c r="E265" s="14" t="s">
        <v>50</v>
      </c>
      <c r="F265" s="14"/>
      <c r="G265" s="14"/>
      <c r="H265" s="14"/>
      <c r="I265" s="31"/>
      <c r="J265" s="31"/>
      <c r="K265" s="15"/>
      <c r="L265" s="15"/>
      <c r="M265" s="15"/>
      <c r="N265" s="15"/>
      <c r="O265" s="15"/>
      <c r="P265" s="14"/>
      <c r="Q265" s="14"/>
      <c r="R265" s="14"/>
      <c r="S265" s="14"/>
      <c r="T265" s="14"/>
      <c r="U265" s="14"/>
      <c r="V265" s="14"/>
      <c r="W265" s="14"/>
      <c r="X265" s="14"/>
      <c r="Y265" s="13"/>
      <c r="Z265" s="44"/>
      <c r="AA265" s="43"/>
      <c r="AB265" s="13"/>
      <c r="AC265" s="13"/>
      <c r="AD265" s="13"/>
      <c r="AE265" s="13"/>
      <c r="AF265" s="13"/>
      <c r="AG265" s="13"/>
      <c r="AH265" s="13"/>
      <c r="AI265" s="13"/>
      <c r="AJ265" s="13"/>
      <c r="AK265" s="44"/>
    </row>
    <row r="266" spans="1:38" ht="12.75" customHeight="1">
      <c r="A266" s="41">
        <v>370</v>
      </c>
      <c r="B266" s="10">
        <v>1112</v>
      </c>
      <c r="C266" s="10" t="s">
        <v>799</v>
      </c>
      <c r="D266" s="16">
        <v>244.12</v>
      </c>
      <c r="E266" s="20" t="s">
        <v>800</v>
      </c>
      <c r="F266" s="20" t="s">
        <v>801</v>
      </c>
      <c r="G266" s="12">
        <v>3</v>
      </c>
      <c r="H266" s="12">
        <v>4</v>
      </c>
      <c r="I266" s="16">
        <f>ROUND(G266,0)</f>
        <v>3</v>
      </c>
      <c r="J266" s="16">
        <f>ROUND(H266,0)</f>
        <v>4</v>
      </c>
      <c r="K266" s="18" t="str">
        <f>IF(I266=J266,"TAM",(CONCATENATE(G266,"/",H266)))</f>
        <v>3/4</v>
      </c>
      <c r="L266" s="29">
        <f>244.12*3/4</f>
        <v>183.09</v>
      </c>
      <c r="M266" s="30">
        <v>0</v>
      </c>
      <c r="N266" s="16" t="str">
        <f>IF(M266=0,"0",(O266*M266))</f>
        <v>0</v>
      </c>
      <c r="O266" s="16">
        <f>IF(W266=1,L266,((D266*G266/H266)-P266)/(1-V266)-S266-T266)</f>
        <v>183.09</v>
      </c>
      <c r="P266" s="16">
        <v>0</v>
      </c>
      <c r="Q266" s="16">
        <f>IF(U266=0,"0",O266*U266)</f>
        <v>61.28982272260506</v>
      </c>
      <c r="R266" s="17">
        <f>IF(U266=0,(((D266*G266/H266)-P266-S266-T266)/(1-V266)),(((D266*G266/H266)-P266-S266-T266)/(1-V266))-((D266*G266/H266)-P266-S266-T266)*U266/(1-V266))</f>
        <v>121.80017727739494</v>
      </c>
      <c r="S266" s="12">
        <v>0</v>
      </c>
      <c r="T266" s="12">
        <v>0</v>
      </c>
      <c r="U266" s="12">
        <v>0.334752431714485</v>
      </c>
      <c r="V266" s="12">
        <v>0</v>
      </c>
      <c r="W266" s="28">
        <f>IF(V266&gt;U266,1,V266)</f>
        <v>0</v>
      </c>
      <c r="X266" s="12">
        <v>1</v>
      </c>
      <c r="Y266" s="16">
        <v>0</v>
      </c>
      <c r="Z266" s="42" t="str">
        <f>IF(OR(W266=1,W266=0),"0",(Q266-N266))</f>
        <v>0</v>
      </c>
      <c r="AA266" s="53" t="s">
        <v>802</v>
      </c>
      <c r="AB266" s="16" t="s">
        <v>804</v>
      </c>
      <c r="AC266" s="16">
        <v>121.8</v>
      </c>
      <c r="AD266" s="16">
        <v>488.52</v>
      </c>
      <c r="AE266" s="16">
        <f>ROUND(AC266*100,0)</f>
        <v>12180</v>
      </c>
      <c r="AF266" s="16">
        <f>ROUND(AD266*100,0)</f>
        <v>48852</v>
      </c>
      <c r="AG266" s="19" t="str">
        <f>IF(AC266=AD266,"TAM",(CONCATENATE(AE266,"/",AF266)))</f>
        <v>12180/48852</v>
      </c>
      <c r="AH266" s="11" t="s">
        <v>50</v>
      </c>
      <c r="AI266" s="21" t="s">
        <v>50</v>
      </c>
      <c r="AJ266" s="21" t="s">
        <v>803</v>
      </c>
      <c r="AK266" s="54" t="s">
        <v>50</v>
      </c>
      <c r="AL266" s="1" t="s">
        <v>50</v>
      </c>
    </row>
    <row r="267" spans="1:37" ht="12.75" customHeight="1">
      <c r="A267" s="43"/>
      <c r="B267" s="13"/>
      <c r="C267" s="13"/>
      <c r="D267" s="31"/>
      <c r="E267" s="14" t="s">
        <v>50</v>
      </c>
      <c r="F267" s="14"/>
      <c r="G267" s="14"/>
      <c r="H267" s="14"/>
      <c r="I267" s="31"/>
      <c r="J267" s="31"/>
      <c r="K267" s="15"/>
      <c r="L267" s="15"/>
      <c r="M267" s="15"/>
      <c r="N267" s="15"/>
      <c r="O267" s="15"/>
      <c r="P267" s="14"/>
      <c r="Q267" s="14"/>
      <c r="R267" s="14"/>
      <c r="S267" s="14"/>
      <c r="T267" s="14"/>
      <c r="U267" s="14"/>
      <c r="V267" s="14"/>
      <c r="W267" s="14"/>
      <c r="X267" s="14"/>
      <c r="Y267" s="13"/>
      <c r="Z267" s="44"/>
      <c r="AA267" s="43"/>
      <c r="AB267" s="13"/>
      <c r="AC267" s="13"/>
      <c r="AD267" s="13"/>
      <c r="AE267" s="13"/>
      <c r="AF267" s="13"/>
      <c r="AG267" s="13"/>
      <c r="AH267" s="13"/>
      <c r="AI267" s="13"/>
      <c r="AJ267" s="13"/>
      <c r="AK267" s="44"/>
    </row>
    <row r="268" spans="1:38" ht="12.75" customHeight="1">
      <c r="A268" s="41">
        <v>369</v>
      </c>
      <c r="B268" s="10">
        <v>1112</v>
      </c>
      <c r="C268" s="10" t="s">
        <v>805</v>
      </c>
      <c r="D268" s="16">
        <v>244.12</v>
      </c>
      <c r="E268" s="20" t="s">
        <v>806</v>
      </c>
      <c r="F268" s="20" t="s">
        <v>807</v>
      </c>
      <c r="G268" s="12">
        <v>1</v>
      </c>
      <c r="H268" s="12">
        <v>4</v>
      </c>
      <c r="I268" s="16">
        <f>ROUND(G268,0)</f>
        <v>1</v>
      </c>
      <c r="J268" s="16">
        <f>ROUND(H268,0)</f>
        <v>4</v>
      </c>
      <c r="K268" s="18" t="str">
        <f>IF(I268=J268,"TAM",(CONCATENATE(G268,"/",H268)))</f>
        <v>1/4</v>
      </c>
      <c r="L268" s="29">
        <f>244.12*1/4</f>
        <v>61.03</v>
      </c>
      <c r="M268" s="30">
        <v>0</v>
      </c>
      <c r="N268" s="16" t="str">
        <f>IF(M268=0,"0",(O268*M268))</f>
        <v>0</v>
      </c>
      <c r="O268" s="16">
        <f>IF(W268=1,L268,((D268*G268/H268)-P268)/(1-V268)-S268-T268)</f>
        <v>61.03</v>
      </c>
      <c r="P268" s="16">
        <v>0</v>
      </c>
      <c r="Q268" s="16">
        <f>IF(U268=0,"0",O268*U268)</f>
        <v>20.42994090753502</v>
      </c>
      <c r="R268" s="17">
        <f>IF(U268=0,(((D268*G268/H268)-P268-S268-T268)/(1-V268)),(((D268*G268/H268)-P268-S268-T268)/(1-V268))-((D268*G268/H268)-P268-S268-T268)*U268/(1-V268))</f>
        <v>40.60005909246498</v>
      </c>
      <c r="S268" s="12">
        <v>0</v>
      </c>
      <c r="T268" s="12">
        <v>0</v>
      </c>
      <c r="U268" s="12">
        <v>0.334752431714485</v>
      </c>
      <c r="V268" s="12">
        <v>0</v>
      </c>
      <c r="W268" s="28">
        <f>IF(V268&gt;U268,1,V268)</f>
        <v>0</v>
      </c>
      <c r="X268" s="12">
        <v>1</v>
      </c>
      <c r="Y268" s="16">
        <v>0</v>
      </c>
      <c r="Z268" s="42" t="str">
        <f>IF(OR(W268=1,W268=0),"0",(Q268-N268))</f>
        <v>0</v>
      </c>
      <c r="AA268" s="53" t="s">
        <v>808</v>
      </c>
      <c r="AB268" s="16" t="s">
        <v>810</v>
      </c>
      <c r="AC268" s="16">
        <v>40.6</v>
      </c>
      <c r="AD268" s="16">
        <v>488.52</v>
      </c>
      <c r="AE268" s="16">
        <f>ROUND(AC268*100,0)</f>
        <v>4060</v>
      </c>
      <c r="AF268" s="16">
        <f>ROUND(AD268*100,0)</f>
        <v>48852</v>
      </c>
      <c r="AG268" s="19" t="str">
        <f>IF(AC268=AD268,"TAM",(CONCATENATE(AE268,"/",AF268)))</f>
        <v>4060/48852</v>
      </c>
      <c r="AH268" s="11" t="s">
        <v>50</v>
      </c>
      <c r="AI268" s="21" t="s">
        <v>50</v>
      </c>
      <c r="AJ268" s="21" t="s">
        <v>809</v>
      </c>
      <c r="AK268" s="54" t="s">
        <v>50</v>
      </c>
      <c r="AL268" s="1" t="s">
        <v>50</v>
      </c>
    </row>
    <row r="269" spans="1:37" ht="12.75" customHeight="1">
      <c r="A269" s="43"/>
      <c r="B269" s="13"/>
      <c r="C269" s="13"/>
      <c r="D269" s="31"/>
      <c r="E269" s="14" t="s">
        <v>50</v>
      </c>
      <c r="F269" s="14"/>
      <c r="G269" s="14"/>
      <c r="H269" s="14"/>
      <c r="I269" s="31"/>
      <c r="J269" s="31"/>
      <c r="K269" s="15"/>
      <c r="L269" s="15"/>
      <c r="M269" s="15"/>
      <c r="N269" s="15"/>
      <c r="O269" s="15"/>
      <c r="P269" s="14"/>
      <c r="Q269" s="14"/>
      <c r="R269" s="14"/>
      <c r="S269" s="14"/>
      <c r="T269" s="14"/>
      <c r="U269" s="14"/>
      <c r="V269" s="14"/>
      <c r="W269" s="14"/>
      <c r="X269" s="14"/>
      <c r="Y269" s="13"/>
      <c r="Z269" s="44"/>
      <c r="AA269" s="43"/>
      <c r="AB269" s="13"/>
      <c r="AC269" s="13"/>
      <c r="AD269" s="13"/>
      <c r="AE269" s="13"/>
      <c r="AF269" s="13"/>
      <c r="AG269" s="13"/>
      <c r="AH269" s="13"/>
      <c r="AI269" s="13"/>
      <c r="AJ269" s="13"/>
      <c r="AK269" s="44"/>
    </row>
    <row r="270" spans="1:38" ht="12.75" customHeight="1">
      <c r="A270" s="41">
        <v>371</v>
      </c>
      <c r="B270" s="10">
        <v>1113</v>
      </c>
      <c r="C270" s="10" t="s">
        <v>811</v>
      </c>
      <c r="D270" s="16">
        <v>196.47</v>
      </c>
      <c r="E270" s="20" t="s">
        <v>812</v>
      </c>
      <c r="F270" s="20" t="s">
        <v>813</v>
      </c>
      <c r="G270" s="12">
        <v>1</v>
      </c>
      <c r="H270" s="12">
        <v>1</v>
      </c>
      <c r="I270" s="16">
        <f>ROUND(G270,0)</f>
        <v>1</v>
      </c>
      <c r="J270" s="16">
        <f>ROUND(H270,0)</f>
        <v>1</v>
      </c>
      <c r="K270" s="18" t="str">
        <f>IF(I270=J270,"TAM",(CONCATENATE(G270,"/",H270)))</f>
        <v>TAM</v>
      </c>
      <c r="L270" s="29">
        <f>196.47*1/1</f>
        <v>196.47</v>
      </c>
      <c r="M270" s="30">
        <v>0</v>
      </c>
      <c r="N270" s="16" t="str">
        <f>IF(M270=0,"0",(O270*M270))</f>
        <v>0</v>
      </c>
      <c r="O270" s="16">
        <f>IF(W270=1,L270,((D270*G270/H270)-P270)/(1-V270)-S270-T270)</f>
        <v>196.47</v>
      </c>
      <c r="P270" s="16">
        <v>0</v>
      </c>
      <c r="Q270" s="16">
        <f>IF(U270=0,"0",O270*U270)</f>
        <v>65.76881025894487</v>
      </c>
      <c r="R270" s="17">
        <f>IF(U270=0,(((D270*G270/H270)-P270-S270-T270)/(1-V270)),(((D270*G270/H270)-P270-S270-T270)/(1-V270))-((D270*G270/H270)-P270-S270-T270)*U270/(1-V270))</f>
        <v>130.70118974105515</v>
      </c>
      <c r="S270" s="12">
        <v>0</v>
      </c>
      <c r="T270" s="12">
        <v>0</v>
      </c>
      <c r="U270" s="12">
        <v>0.334752431714485</v>
      </c>
      <c r="V270" s="12">
        <v>0</v>
      </c>
      <c r="W270" s="28">
        <f>IF(V270&gt;U270,1,V270)</f>
        <v>0</v>
      </c>
      <c r="X270" s="12">
        <v>1</v>
      </c>
      <c r="Y270" s="16">
        <v>0</v>
      </c>
      <c r="Z270" s="42" t="str">
        <f>IF(OR(W270=1,W270=0),"0",(Q270-N270))</f>
        <v>0</v>
      </c>
      <c r="AA270" s="53" t="s">
        <v>815</v>
      </c>
      <c r="AB270" s="16" t="s">
        <v>817</v>
      </c>
      <c r="AC270" s="16">
        <v>130.7</v>
      </c>
      <c r="AD270" s="16">
        <v>488.52</v>
      </c>
      <c r="AE270" s="16">
        <f>ROUND(AC270*100,0)</f>
        <v>13070</v>
      </c>
      <c r="AF270" s="16">
        <f>ROUND(AD270*100,0)</f>
        <v>48852</v>
      </c>
      <c r="AG270" s="19" t="str">
        <f>IF(AC270=AD270,"TAM",(CONCATENATE(AE270,"/",AF270)))</f>
        <v>13070/48852</v>
      </c>
      <c r="AH270" s="11" t="s">
        <v>50</v>
      </c>
      <c r="AI270" s="21" t="s">
        <v>50</v>
      </c>
      <c r="AJ270" s="21" t="s">
        <v>816</v>
      </c>
      <c r="AK270" s="54" t="s">
        <v>50</v>
      </c>
      <c r="AL270" s="1" t="s">
        <v>50</v>
      </c>
    </row>
    <row r="271" spans="1:37" ht="21" customHeight="1">
      <c r="A271" s="43"/>
      <c r="B271" s="13"/>
      <c r="C271" s="13"/>
      <c r="D271" s="31"/>
      <c r="E271" s="34" t="s">
        <v>814</v>
      </c>
      <c r="F271" s="14"/>
      <c r="G271" s="14"/>
      <c r="H271" s="14"/>
      <c r="I271" s="31"/>
      <c r="J271" s="31"/>
      <c r="K271" s="15"/>
      <c r="L271" s="15"/>
      <c r="M271" s="15"/>
      <c r="N271" s="15"/>
      <c r="O271" s="15"/>
      <c r="P271" s="14"/>
      <c r="Q271" s="14"/>
      <c r="R271" s="14"/>
      <c r="S271" s="14"/>
      <c r="T271" s="14"/>
      <c r="U271" s="14"/>
      <c r="V271" s="14"/>
      <c r="W271" s="14"/>
      <c r="X271" s="14"/>
      <c r="Y271" s="13"/>
      <c r="Z271" s="44"/>
      <c r="AA271" s="43"/>
      <c r="AB271" s="13"/>
      <c r="AC271" s="13"/>
      <c r="AD271" s="13"/>
      <c r="AE271" s="13"/>
      <c r="AF271" s="13"/>
      <c r="AG271" s="13"/>
      <c r="AH271" s="13"/>
      <c r="AI271" s="13"/>
      <c r="AJ271" s="13"/>
      <c r="AK271" s="44"/>
    </row>
    <row r="272" spans="1:38" ht="12.75" customHeight="1">
      <c r="A272" s="41">
        <v>385</v>
      </c>
      <c r="B272" s="10">
        <v>1115</v>
      </c>
      <c r="C272" s="10" t="s">
        <v>818</v>
      </c>
      <c r="D272" s="16">
        <v>126.11</v>
      </c>
      <c r="E272" s="20" t="s">
        <v>819</v>
      </c>
      <c r="F272" s="20" t="s">
        <v>820</v>
      </c>
      <c r="G272" s="12">
        <v>1</v>
      </c>
      <c r="H272" s="12">
        <v>1</v>
      </c>
      <c r="I272" s="16">
        <f>ROUND(G272,0)</f>
        <v>1</v>
      </c>
      <c r="J272" s="16">
        <f>ROUND(H272,0)</f>
        <v>1</v>
      </c>
      <c r="K272" s="18" t="str">
        <f>IF(I272=J272,"TAM",(CONCATENATE(G272,"/",H272)))</f>
        <v>TAM</v>
      </c>
      <c r="L272" s="29">
        <f>126.11*1/1</f>
        <v>126.11</v>
      </c>
      <c r="M272" s="30">
        <v>0</v>
      </c>
      <c r="N272" s="16" t="str">
        <f>IF(M272=0,"0",(O272*M272))</f>
        <v>0</v>
      </c>
      <c r="O272" s="16">
        <f>IF(W272=1,L272,((D272*G272/H272)-P272)/(1-V272)-S272-T272)</f>
        <v>126.11</v>
      </c>
      <c r="P272" s="16">
        <v>0</v>
      </c>
      <c r="Q272" s="16">
        <f>IF(U272=0,"0",O272*U272)</f>
        <v>42.215629163513704</v>
      </c>
      <c r="R272" s="17">
        <f>IF(U272=0,(((D272*G272/H272)-P272-S272-T272)/(1-V272)),(((D272*G272/H272)-P272-S272-T272)/(1-V272))-((D272*G272/H272)-P272-S272-T272)*U272/(1-V272))</f>
        <v>83.8943708364863</v>
      </c>
      <c r="S272" s="12">
        <v>0</v>
      </c>
      <c r="T272" s="12">
        <v>0</v>
      </c>
      <c r="U272" s="12">
        <v>0.334752431714485</v>
      </c>
      <c r="V272" s="12">
        <v>0</v>
      </c>
      <c r="W272" s="28">
        <f>IF(V272&gt;U272,1,V272)</f>
        <v>0</v>
      </c>
      <c r="X272" s="12">
        <v>1</v>
      </c>
      <c r="Y272" s="16">
        <v>0</v>
      </c>
      <c r="Z272" s="42" t="str">
        <f>IF(OR(W272=1,W272=0),"0",(Q272-N272))</f>
        <v>0</v>
      </c>
      <c r="AA272" s="53" t="s">
        <v>821</v>
      </c>
      <c r="AB272" s="16" t="s">
        <v>823</v>
      </c>
      <c r="AC272" s="16">
        <v>83.89</v>
      </c>
      <c r="AD272" s="16">
        <v>488.52</v>
      </c>
      <c r="AE272" s="16">
        <f>ROUND(AC272*100,0)</f>
        <v>8389</v>
      </c>
      <c r="AF272" s="16">
        <f>ROUND(AD272*100,0)</f>
        <v>48852</v>
      </c>
      <c r="AG272" s="19" t="str">
        <f>IF(AC272=AD272,"TAM",(CONCATENATE(AE272,"/",AF272)))</f>
        <v>8389/48852</v>
      </c>
      <c r="AH272" s="11" t="s">
        <v>50</v>
      </c>
      <c r="AI272" s="21" t="s">
        <v>50</v>
      </c>
      <c r="AJ272" s="21" t="s">
        <v>822</v>
      </c>
      <c r="AK272" s="54" t="s">
        <v>50</v>
      </c>
      <c r="AL272" s="1" t="s">
        <v>50</v>
      </c>
    </row>
    <row r="273" spans="1:37" ht="12.75" customHeight="1">
      <c r="A273" s="43"/>
      <c r="B273" s="13"/>
      <c r="C273" s="13"/>
      <c r="D273" s="31"/>
      <c r="E273" s="14" t="s">
        <v>50</v>
      </c>
      <c r="F273" s="14"/>
      <c r="G273" s="14"/>
      <c r="H273" s="14"/>
      <c r="I273" s="31"/>
      <c r="J273" s="31"/>
      <c r="K273" s="15"/>
      <c r="L273" s="15"/>
      <c r="M273" s="15"/>
      <c r="N273" s="15"/>
      <c r="O273" s="15"/>
      <c r="P273" s="14"/>
      <c r="Q273" s="14"/>
      <c r="R273" s="14"/>
      <c r="S273" s="14"/>
      <c r="T273" s="14"/>
      <c r="U273" s="14"/>
      <c r="V273" s="14"/>
      <c r="W273" s="14"/>
      <c r="X273" s="14"/>
      <c r="Y273" s="13"/>
      <c r="Z273" s="44"/>
      <c r="AA273" s="43"/>
      <c r="AB273" s="13"/>
      <c r="AC273" s="13"/>
      <c r="AD273" s="13"/>
      <c r="AE273" s="13"/>
      <c r="AF273" s="13"/>
      <c r="AG273" s="13"/>
      <c r="AH273" s="13"/>
      <c r="AI273" s="13"/>
      <c r="AJ273" s="13"/>
      <c r="AK273" s="44"/>
    </row>
    <row r="274" spans="1:38" ht="12.75" customHeight="1">
      <c r="A274" s="41">
        <v>388</v>
      </c>
      <c r="B274" s="10">
        <v>1116</v>
      </c>
      <c r="C274" s="10" t="s">
        <v>824</v>
      </c>
      <c r="D274" s="16">
        <v>167.65</v>
      </c>
      <c r="E274" s="20" t="s">
        <v>825</v>
      </c>
      <c r="F274" s="20" t="s">
        <v>826</v>
      </c>
      <c r="G274" s="12">
        <v>1</v>
      </c>
      <c r="H274" s="12">
        <v>1</v>
      </c>
      <c r="I274" s="16">
        <f>ROUND(G274,0)</f>
        <v>1</v>
      </c>
      <c r="J274" s="16">
        <f>ROUND(H274,0)</f>
        <v>1</v>
      </c>
      <c r="K274" s="18" t="str">
        <f>IF(I274=J274,"TAM",(CONCATENATE(G274,"/",H274)))</f>
        <v>TAM</v>
      </c>
      <c r="L274" s="29">
        <f>167.65*1/1</f>
        <v>167.65</v>
      </c>
      <c r="M274" s="30">
        <v>0</v>
      </c>
      <c r="N274" s="16" t="str">
        <f>IF(M274=0,"0",(O274*M274))</f>
        <v>0</v>
      </c>
      <c r="O274" s="16">
        <f>IF(W274=1,L274,((D274*G274/H274)-P274)/(1-V274)-S274-T274)</f>
        <v>167.65</v>
      </c>
      <c r="P274" s="16">
        <v>0</v>
      </c>
      <c r="Q274" s="16">
        <f>IF(U274=0,"0",O274*U274)</f>
        <v>56.12124517693341</v>
      </c>
      <c r="R274" s="17">
        <f>IF(U274=0,(((D274*G274/H274)-P274-S274-T274)/(1-V274)),(((D274*G274/H274)-P274-S274-T274)/(1-V274))-((D274*G274/H274)-P274-S274-T274)*U274/(1-V274))</f>
        <v>111.5287548230666</v>
      </c>
      <c r="S274" s="12">
        <v>0</v>
      </c>
      <c r="T274" s="12">
        <v>0</v>
      </c>
      <c r="U274" s="12">
        <v>0.334752431714485</v>
      </c>
      <c r="V274" s="12">
        <v>0</v>
      </c>
      <c r="W274" s="28">
        <f>IF(V274&gt;U274,1,V274)</f>
        <v>0</v>
      </c>
      <c r="X274" s="12">
        <v>1</v>
      </c>
      <c r="Y274" s="16">
        <v>0</v>
      </c>
      <c r="Z274" s="42" t="str">
        <f>IF(OR(W274=1,W274=0),"0",(Q274-N274))</f>
        <v>0</v>
      </c>
      <c r="AA274" s="53" t="s">
        <v>827</v>
      </c>
      <c r="AB274" s="16" t="s">
        <v>829</v>
      </c>
      <c r="AC274" s="16">
        <v>111.53</v>
      </c>
      <c r="AD274" s="16">
        <v>488.52</v>
      </c>
      <c r="AE274" s="16">
        <f>ROUND(AC274*100,0)</f>
        <v>11153</v>
      </c>
      <c r="AF274" s="16">
        <f>ROUND(AD274*100,0)</f>
        <v>48852</v>
      </c>
      <c r="AG274" s="19" t="str">
        <f>IF(AC274=AD274,"TAM",(CONCATENATE(AE274,"/",AF274)))</f>
        <v>11153/48852</v>
      </c>
      <c r="AH274" s="11" t="s">
        <v>50</v>
      </c>
      <c r="AI274" s="21" t="s">
        <v>50</v>
      </c>
      <c r="AJ274" s="21" t="s">
        <v>828</v>
      </c>
      <c r="AK274" s="54" t="s">
        <v>50</v>
      </c>
      <c r="AL274" s="1" t="s">
        <v>50</v>
      </c>
    </row>
    <row r="275" spans="1:37" ht="12.75" customHeight="1">
      <c r="A275" s="43"/>
      <c r="B275" s="13"/>
      <c r="C275" s="13"/>
      <c r="D275" s="31"/>
      <c r="E275" s="14" t="s">
        <v>50</v>
      </c>
      <c r="F275" s="14"/>
      <c r="G275" s="14"/>
      <c r="H275" s="14"/>
      <c r="I275" s="31"/>
      <c r="J275" s="31"/>
      <c r="K275" s="15"/>
      <c r="L275" s="15"/>
      <c r="M275" s="15"/>
      <c r="N275" s="15"/>
      <c r="O275" s="15"/>
      <c r="P275" s="14"/>
      <c r="Q275" s="14"/>
      <c r="R275" s="14"/>
      <c r="S275" s="14"/>
      <c r="T275" s="14"/>
      <c r="U275" s="14"/>
      <c r="V275" s="14"/>
      <c r="W275" s="14"/>
      <c r="X275" s="14"/>
      <c r="Y275" s="13"/>
      <c r="Z275" s="44"/>
      <c r="AA275" s="43"/>
      <c r="AB275" s="13"/>
      <c r="AC275" s="13"/>
      <c r="AD275" s="13"/>
      <c r="AE275" s="13"/>
      <c r="AF275" s="13"/>
      <c r="AG275" s="13"/>
      <c r="AH275" s="13"/>
      <c r="AI275" s="13"/>
      <c r="AJ275" s="13"/>
      <c r="AK275" s="44"/>
    </row>
    <row r="276" spans="1:38" ht="12.75" customHeight="1">
      <c r="A276" s="41">
        <v>352</v>
      </c>
      <c r="B276" s="10">
        <v>1110</v>
      </c>
      <c r="C276" s="10" t="s">
        <v>830</v>
      </c>
      <c r="D276" s="16">
        <v>1059.82</v>
      </c>
      <c r="E276" s="20" t="s">
        <v>831</v>
      </c>
      <c r="F276" s="20" t="s">
        <v>832</v>
      </c>
      <c r="G276" s="12">
        <v>1</v>
      </c>
      <c r="H276" s="12">
        <v>12</v>
      </c>
      <c r="I276" s="16">
        <f>ROUND(G276,0)</f>
        <v>1</v>
      </c>
      <c r="J276" s="16">
        <f>ROUND(H276,0)</f>
        <v>12</v>
      </c>
      <c r="K276" s="18" t="str">
        <f>IF(I276=J276,"TAM",(CONCATENATE(G276,"/",H276)))</f>
        <v>1/12</v>
      </c>
      <c r="L276" s="29">
        <f>1059.82*1/12</f>
        <v>88.31833333333333</v>
      </c>
      <c r="M276" s="30">
        <v>0</v>
      </c>
      <c r="N276" s="16" t="str">
        <f>IF(M276=0,"0",(O276*M276))</f>
        <v>0</v>
      </c>
      <c r="O276" s="16">
        <f>IF(W276=1,L276,((D276*G276/H276)-P276)/(1-V276)-S276-T276)</f>
        <v>88.31833333333333</v>
      </c>
      <c r="P276" s="16">
        <v>0</v>
      </c>
      <c r="Q276" s="16">
        <f>IF(U276=0,"0",O276*U276)</f>
        <v>29.564776848303786</v>
      </c>
      <c r="R276" s="17">
        <f>IF(U276=0,(((D276*G276/H276)-P276-S276-T276)/(1-V276)),(((D276*G276/H276)-P276-S276-T276)/(1-V276))-((D276*G276/H276)-P276-S276-T276)*U276/(1-V276))</f>
        <v>58.75355648502954</v>
      </c>
      <c r="S276" s="12">
        <v>0</v>
      </c>
      <c r="T276" s="12">
        <v>0</v>
      </c>
      <c r="U276" s="12">
        <v>0.334752431714485</v>
      </c>
      <c r="V276" s="12">
        <v>0</v>
      </c>
      <c r="W276" s="28">
        <f>IF(V276&gt;U276,1,V276)</f>
        <v>0</v>
      </c>
      <c r="X276" s="12">
        <v>1</v>
      </c>
      <c r="Y276" s="16">
        <v>0</v>
      </c>
      <c r="Z276" s="42" t="str">
        <f>IF(OR(W276=1,W276=0),"0",(Q276-N276))</f>
        <v>0</v>
      </c>
      <c r="AA276" s="53" t="s">
        <v>833</v>
      </c>
      <c r="AB276" s="16" t="s">
        <v>835</v>
      </c>
      <c r="AC276" s="16">
        <v>49.38</v>
      </c>
      <c r="AD276" s="16">
        <v>701.28</v>
      </c>
      <c r="AE276" s="16">
        <f>ROUND(AC276*100,0)</f>
        <v>4938</v>
      </c>
      <c r="AF276" s="16">
        <f>ROUND(AD276*100,0)</f>
        <v>70128</v>
      </c>
      <c r="AG276" s="19" t="str">
        <f>IF(AC276=AD276,"TAM",(CONCATENATE(AE276,"/",AF276)))</f>
        <v>4938/70128</v>
      </c>
      <c r="AH276" s="11" t="s">
        <v>50</v>
      </c>
      <c r="AI276" s="21" t="s">
        <v>50</v>
      </c>
      <c r="AJ276" s="21" t="s">
        <v>834</v>
      </c>
      <c r="AK276" s="54" t="s">
        <v>50</v>
      </c>
      <c r="AL276" s="1" t="s">
        <v>50</v>
      </c>
    </row>
    <row r="277" spans="1:37" ht="12.75" customHeight="1">
      <c r="A277" s="43"/>
      <c r="B277" s="13"/>
      <c r="C277" s="13"/>
      <c r="D277" s="31"/>
      <c r="E277" s="14" t="s">
        <v>50</v>
      </c>
      <c r="F277" s="14"/>
      <c r="G277" s="14"/>
      <c r="H277" s="14"/>
      <c r="I277" s="31"/>
      <c r="J277" s="31"/>
      <c r="K277" s="15"/>
      <c r="L277" s="15"/>
      <c r="M277" s="15"/>
      <c r="N277" s="15"/>
      <c r="O277" s="15"/>
      <c r="P277" s="14"/>
      <c r="Q277" s="14"/>
      <c r="R277" s="14"/>
      <c r="S277" s="14"/>
      <c r="T277" s="14"/>
      <c r="U277" s="14"/>
      <c r="V277" s="14"/>
      <c r="W277" s="14"/>
      <c r="X277" s="14"/>
      <c r="Y277" s="13"/>
      <c r="Z277" s="44"/>
      <c r="AA277" s="43"/>
      <c r="AB277" s="13"/>
      <c r="AC277" s="13"/>
      <c r="AD277" s="13"/>
      <c r="AE277" s="13"/>
      <c r="AF277" s="13"/>
      <c r="AG277" s="13"/>
      <c r="AH277" s="13"/>
      <c r="AI277" s="13"/>
      <c r="AJ277" s="13"/>
      <c r="AK277" s="44"/>
    </row>
    <row r="278" spans="1:38" ht="12.75" customHeight="1">
      <c r="A278" s="41">
        <v>347</v>
      </c>
      <c r="B278" s="10">
        <v>1110</v>
      </c>
      <c r="C278" s="10" t="s">
        <v>836</v>
      </c>
      <c r="D278" s="16">
        <v>1059.82</v>
      </c>
      <c r="E278" s="20" t="s">
        <v>837</v>
      </c>
      <c r="F278" s="20" t="s">
        <v>838</v>
      </c>
      <c r="G278" s="12">
        <v>1</v>
      </c>
      <c r="H278" s="12">
        <v>4</v>
      </c>
      <c r="I278" s="16">
        <f>ROUND(G278,0)</f>
        <v>1</v>
      </c>
      <c r="J278" s="16">
        <f>ROUND(H278,0)</f>
        <v>4</v>
      </c>
      <c r="K278" s="18" t="str">
        <f>IF(I278=J278,"TAM",(CONCATENATE(G278,"/",H278)))</f>
        <v>1/4</v>
      </c>
      <c r="L278" s="29">
        <f>1059.82*1/4</f>
        <v>264.955</v>
      </c>
      <c r="M278" s="30">
        <v>0</v>
      </c>
      <c r="N278" s="16" t="str">
        <f>IF(M278=0,"0",(O278*M278))</f>
        <v>0</v>
      </c>
      <c r="O278" s="16">
        <f>IF(W278=1,L278,((D278*G278/H278)-P278)/(1-V278)-S278-T278)</f>
        <v>264.955</v>
      </c>
      <c r="P278" s="16">
        <v>0</v>
      </c>
      <c r="Q278" s="16">
        <f>IF(U278=0,"0",O278*U278)</f>
        <v>88.69433054491137</v>
      </c>
      <c r="R278" s="17">
        <f>IF(U278=0,(((D278*G278/H278)-P278-S278-T278)/(1-V278)),(((D278*G278/H278)-P278-S278-T278)/(1-V278))-((D278*G278/H278)-P278-S278-T278)*U278/(1-V278))</f>
        <v>176.26066945508862</v>
      </c>
      <c r="S278" s="12">
        <v>0</v>
      </c>
      <c r="T278" s="12">
        <v>0</v>
      </c>
      <c r="U278" s="12">
        <v>0.334752431714485</v>
      </c>
      <c r="V278" s="12">
        <v>0</v>
      </c>
      <c r="W278" s="28">
        <f>IF(V278&gt;U278,1,V278)</f>
        <v>0</v>
      </c>
      <c r="X278" s="12">
        <v>1</v>
      </c>
      <c r="Y278" s="16">
        <v>0</v>
      </c>
      <c r="Z278" s="42" t="str">
        <f>IF(OR(W278=1,W278=0),"0",(Q278-N278))</f>
        <v>0</v>
      </c>
      <c r="AA278" s="53" t="s">
        <v>840</v>
      </c>
      <c r="AB278" s="16" t="s">
        <v>842</v>
      </c>
      <c r="AC278" s="16">
        <v>148.13</v>
      </c>
      <c r="AD278" s="16">
        <v>701.28</v>
      </c>
      <c r="AE278" s="16">
        <f>ROUND(AC278*100,0)</f>
        <v>14813</v>
      </c>
      <c r="AF278" s="16">
        <f>ROUND(AD278*100,0)</f>
        <v>70128</v>
      </c>
      <c r="AG278" s="19" t="str">
        <f>IF(AC278=AD278,"TAM",(CONCATENATE(AE278,"/",AF278)))</f>
        <v>14813/70128</v>
      </c>
      <c r="AH278" s="11" t="s">
        <v>50</v>
      </c>
      <c r="AI278" s="21" t="s">
        <v>50</v>
      </c>
      <c r="AJ278" s="21" t="s">
        <v>841</v>
      </c>
      <c r="AK278" s="54" t="s">
        <v>50</v>
      </c>
      <c r="AL278" s="1" t="s">
        <v>50</v>
      </c>
    </row>
    <row r="279" spans="1:37" ht="31.5" customHeight="1">
      <c r="A279" s="43"/>
      <c r="B279" s="13"/>
      <c r="C279" s="13"/>
      <c r="D279" s="31"/>
      <c r="E279" s="34" t="s">
        <v>839</v>
      </c>
      <c r="F279" s="14"/>
      <c r="G279" s="14"/>
      <c r="H279" s="14"/>
      <c r="I279" s="31"/>
      <c r="J279" s="31"/>
      <c r="K279" s="15"/>
      <c r="L279" s="15"/>
      <c r="M279" s="15"/>
      <c r="N279" s="15"/>
      <c r="O279" s="15"/>
      <c r="P279" s="14"/>
      <c r="Q279" s="14"/>
      <c r="R279" s="14"/>
      <c r="S279" s="14"/>
      <c r="T279" s="14"/>
      <c r="U279" s="14"/>
      <c r="V279" s="14"/>
      <c r="W279" s="14"/>
      <c r="X279" s="14"/>
      <c r="Y279" s="13"/>
      <c r="Z279" s="44"/>
      <c r="AA279" s="43"/>
      <c r="AB279" s="13"/>
      <c r="AC279" s="13"/>
      <c r="AD279" s="13"/>
      <c r="AE279" s="13"/>
      <c r="AF279" s="13"/>
      <c r="AG279" s="13"/>
      <c r="AH279" s="13"/>
      <c r="AI279" s="13"/>
      <c r="AJ279" s="13"/>
      <c r="AK279" s="44"/>
    </row>
    <row r="280" spans="1:38" ht="12.75" customHeight="1">
      <c r="A280" s="41">
        <v>345</v>
      </c>
      <c r="B280" s="10">
        <v>1110</v>
      </c>
      <c r="C280" s="10" t="s">
        <v>843</v>
      </c>
      <c r="D280" s="16">
        <v>1059.82</v>
      </c>
      <c r="E280" s="20" t="s">
        <v>844</v>
      </c>
      <c r="F280" s="20" t="s">
        <v>845</v>
      </c>
      <c r="G280" s="12">
        <v>3</v>
      </c>
      <c r="H280" s="12">
        <v>64</v>
      </c>
      <c r="I280" s="16">
        <f>ROUND(G280,0)</f>
        <v>3</v>
      </c>
      <c r="J280" s="16">
        <f>ROUND(H280,0)</f>
        <v>64</v>
      </c>
      <c r="K280" s="18" t="str">
        <f>IF(I280=J280,"TAM",(CONCATENATE(G280,"/",H280)))</f>
        <v>3/64</v>
      </c>
      <c r="L280" s="29">
        <f>1059.82*3/64</f>
        <v>49.6790625</v>
      </c>
      <c r="M280" s="30">
        <v>0</v>
      </c>
      <c r="N280" s="16" t="str">
        <f>IF(M280=0,"0",(O280*M280))</f>
        <v>0</v>
      </c>
      <c r="O280" s="16">
        <f>IF(W280=1,L280,((D280*G280/H280)-P280)/(1-V280)-S280-T280)</f>
        <v>49.6790625</v>
      </c>
      <c r="P280" s="16">
        <v>0</v>
      </c>
      <c r="Q280" s="16">
        <f>IF(U280=0,"0",O280*U280)</f>
        <v>16.630186977170883</v>
      </c>
      <c r="R280" s="17">
        <f>IF(U280=0,(((D280*G280/H280)-P280-S280-T280)/(1-V280)),(((D280*G280/H280)-P280-S280-T280)/(1-V280))-((D280*G280/H280)-P280-S280-T280)*U280/(1-V280))</f>
        <v>33.04887552282912</v>
      </c>
      <c r="S280" s="12">
        <v>0</v>
      </c>
      <c r="T280" s="12">
        <v>0</v>
      </c>
      <c r="U280" s="12">
        <v>0.334752431714485</v>
      </c>
      <c r="V280" s="12">
        <v>0</v>
      </c>
      <c r="W280" s="28">
        <f>IF(V280&gt;U280,1,V280)</f>
        <v>0</v>
      </c>
      <c r="X280" s="12">
        <v>1</v>
      </c>
      <c r="Y280" s="16">
        <v>0</v>
      </c>
      <c r="Z280" s="42" t="str">
        <f>IF(OR(W280=1,W280=0),"0",(Q280-N280))</f>
        <v>0</v>
      </c>
      <c r="AA280" s="53" t="s">
        <v>846</v>
      </c>
      <c r="AB280" s="16" t="s">
        <v>848</v>
      </c>
      <c r="AC280" s="16">
        <v>27.77</v>
      </c>
      <c r="AD280" s="16">
        <v>701.28</v>
      </c>
      <c r="AE280" s="16">
        <f>ROUND(AC280*100,0)</f>
        <v>2777</v>
      </c>
      <c r="AF280" s="16">
        <f>ROUND(AD280*100,0)</f>
        <v>70128</v>
      </c>
      <c r="AG280" s="19" t="str">
        <f>IF(AC280=AD280,"TAM",(CONCATENATE(AE280,"/",AF280)))</f>
        <v>2777/70128</v>
      </c>
      <c r="AH280" s="11" t="s">
        <v>50</v>
      </c>
      <c r="AI280" s="21" t="s">
        <v>50</v>
      </c>
      <c r="AJ280" s="21" t="s">
        <v>847</v>
      </c>
      <c r="AK280" s="54" t="s">
        <v>50</v>
      </c>
      <c r="AL280" s="1" t="s">
        <v>50</v>
      </c>
    </row>
    <row r="281" spans="1:37" ht="12.75" customHeight="1">
      <c r="A281" s="43"/>
      <c r="B281" s="13"/>
      <c r="C281" s="13"/>
      <c r="D281" s="31"/>
      <c r="E281" s="14" t="s">
        <v>50</v>
      </c>
      <c r="F281" s="14"/>
      <c r="G281" s="14"/>
      <c r="H281" s="14"/>
      <c r="I281" s="31"/>
      <c r="J281" s="31"/>
      <c r="K281" s="15"/>
      <c r="L281" s="15"/>
      <c r="M281" s="15"/>
      <c r="N281" s="15"/>
      <c r="O281" s="15"/>
      <c r="P281" s="14"/>
      <c r="Q281" s="14"/>
      <c r="R281" s="14"/>
      <c r="S281" s="14"/>
      <c r="T281" s="14"/>
      <c r="U281" s="14"/>
      <c r="V281" s="14"/>
      <c r="W281" s="14"/>
      <c r="X281" s="14"/>
      <c r="Y281" s="13"/>
      <c r="Z281" s="44"/>
      <c r="AA281" s="43"/>
      <c r="AB281" s="13"/>
      <c r="AC281" s="13"/>
      <c r="AD281" s="13"/>
      <c r="AE281" s="13"/>
      <c r="AF281" s="13"/>
      <c r="AG281" s="13"/>
      <c r="AH281" s="13"/>
      <c r="AI281" s="13"/>
      <c r="AJ281" s="13"/>
      <c r="AK281" s="44"/>
    </row>
    <row r="282" spans="1:38" ht="12.75" customHeight="1">
      <c r="A282" s="41">
        <v>344</v>
      </c>
      <c r="B282" s="10">
        <v>1110</v>
      </c>
      <c r="C282" s="10" t="s">
        <v>849</v>
      </c>
      <c r="D282" s="16">
        <v>1059.82</v>
      </c>
      <c r="E282" s="20" t="s">
        <v>850</v>
      </c>
      <c r="F282" s="20" t="s">
        <v>851</v>
      </c>
      <c r="G282" s="12">
        <v>3</v>
      </c>
      <c r="H282" s="12">
        <v>64</v>
      </c>
      <c r="I282" s="16">
        <f>ROUND(G282,0)</f>
        <v>3</v>
      </c>
      <c r="J282" s="16">
        <f>ROUND(H282,0)</f>
        <v>64</v>
      </c>
      <c r="K282" s="18" t="str">
        <f>IF(I282=J282,"TAM",(CONCATENATE(G282,"/",H282)))</f>
        <v>3/64</v>
      </c>
      <c r="L282" s="29">
        <f>1059.82*3/64</f>
        <v>49.6790625</v>
      </c>
      <c r="M282" s="30">
        <v>0</v>
      </c>
      <c r="N282" s="16" t="str">
        <f>IF(M282=0,"0",(O282*M282))</f>
        <v>0</v>
      </c>
      <c r="O282" s="16">
        <f>IF(W282=1,L282,((D282*G282/H282)-P282)/(1-V282)-S282-T282)</f>
        <v>49.6790625</v>
      </c>
      <c r="P282" s="16">
        <v>0</v>
      </c>
      <c r="Q282" s="16">
        <f>IF(U282=0,"0",O282*U282)</f>
        <v>16.630186977170883</v>
      </c>
      <c r="R282" s="17">
        <f>IF(U282=0,(((D282*G282/H282)-P282-S282-T282)/(1-V282)),(((D282*G282/H282)-P282-S282-T282)/(1-V282))-((D282*G282/H282)-P282-S282-T282)*U282/(1-V282))</f>
        <v>33.04887552282912</v>
      </c>
      <c r="S282" s="12">
        <v>0</v>
      </c>
      <c r="T282" s="12">
        <v>0</v>
      </c>
      <c r="U282" s="12">
        <v>0.334752431714485</v>
      </c>
      <c r="V282" s="12">
        <v>0</v>
      </c>
      <c r="W282" s="28">
        <f>IF(V282&gt;U282,1,V282)</f>
        <v>0</v>
      </c>
      <c r="X282" s="12">
        <v>1</v>
      </c>
      <c r="Y282" s="16">
        <v>0</v>
      </c>
      <c r="Z282" s="42" t="str">
        <f>IF(OR(W282=1,W282=0),"0",(Q282-N282))</f>
        <v>0</v>
      </c>
      <c r="AA282" s="53" t="s">
        <v>852</v>
      </c>
      <c r="AB282" s="16" t="s">
        <v>854</v>
      </c>
      <c r="AC282" s="16">
        <v>27.77</v>
      </c>
      <c r="AD282" s="16">
        <v>701.28</v>
      </c>
      <c r="AE282" s="16">
        <f>ROUND(AC282*100,0)</f>
        <v>2777</v>
      </c>
      <c r="AF282" s="16">
        <f>ROUND(AD282*100,0)</f>
        <v>70128</v>
      </c>
      <c r="AG282" s="19" t="str">
        <f>IF(AC282=AD282,"TAM",(CONCATENATE(AE282,"/",AF282)))</f>
        <v>2777/70128</v>
      </c>
      <c r="AH282" s="11" t="s">
        <v>50</v>
      </c>
      <c r="AI282" s="21" t="s">
        <v>50</v>
      </c>
      <c r="AJ282" s="21" t="s">
        <v>853</v>
      </c>
      <c r="AK282" s="54" t="s">
        <v>50</v>
      </c>
      <c r="AL282" s="1" t="s">
        <v>50</v>
      </c>
    </row>
    <row r="283" spans="1:37" ht="12.75" customHeight="1">
      <c r="A283" s="43"/>
      <c r="B283" s="13"/>
      <c r="C283" s="13"/>
      <c r="D283" s="31"/>
      <c r="E283" s="14" t="s">
        <v>50</v>
      </c>
      <c r="F283" s="14"/>
      <c r="G283" s="14"/>
      <c r="H283" s="14"/>
      <c r="I283" s="31"/>
      <c r="J283" s="31"/>
      <c r="K283" s="15"/>
      <c r="L283" s="15"/>
      <c r="M283" s="15"/>
      <c r="N283" s="15"/>
      <c r="O283" s="15"/>
      <c r="P283" s="14"/>
      <c r="Q283" s="14"/>
      <c r="R283" s="14"/>
      <c r="S283" s="14"/>
      <c r="T283" s="14"/>
      <c r="U283" s="14"/>
      <c r="V283" s="14"/>
      <c r="W283" s="14"/>
      <c r="X283" s="14"/>
      <c r="Y283" s="13"/>
      <c r="Z283" s="44"/>
      <c r="AA283" s="43"/>
      <c r="AB283" s="13"/>
      <c r="AC283" s="13"/>
      <c r="AD283" s="13"/>
      <c r="AE283" s="13"/>
      <c r="AF283" s="13"/>
      <c r="AG283" s="13"/>
      <c r="AH283" s="13"/>
      <c r="AI283" s="13"/>
      <c r="AJ283" s="13"/>
      <c r="AK283" s="44"/>
    </row>
    <row r="284" spans="1:38" ht="12.75" customHeight="1">
      <c r="A284" s="41">
        <v>342</v>
      </c>
      <c r="B284" s="10">
        <v>1110</v>
      </c>
      <c r="C284" s="10" t="s">
        <v>855</v>
      </c>
      <c r="D284" s="16">
        <v>1059.82</v>
      </c>
      <c r="E284" s="20" t="s">
        <v>856</v>
      </c>
      <c r="F284" s="20" t="s">
        <v>857</v>
      </c>
      <c r="G284" s="12">
        <v>16</v>
      </c>
      <c r="H284" s="12">
        <v>64</v>
      </c>
      <c r="I284" s="16">
        <f>ROUND(G284,0)</f>
        <v>16</v>
      </c>
      <c r="J284" s="16">
        <f>ROUND(H284,0)</f>
        <v>64</v>
      </c>
      <c r="K284" s="18" t="str">
        <f>IF(I284=J284,"TAM",(CONCATENATE(G284,"/",H284)))</f>
        <v>16/64</v>
      </c>
      <c r="L284" s="29">
        <f>1059.82*16/64</f>
        <v>264.955</v>
      </c>
      <c r="M284" s="30">
        <v>0</v>
      </c>
      <c r="N284" s="16" t="str">
        <f>IF(M284=0,"0",(O284*M284))</f>
        <v>0</v>
      </c>
      <c r="O284" s="16">
        <f>IF(W284=1,L284,((D284*G284/H284)-P284)/(1-V284)-S284-T284)</f>
        <v>264.955</v>
      </c>
      <c r="P284" s="16">
        <v>0</v>
      </c>
      <c r="Q284" s="16">
        <f>IF(U284=0,"0",O284*U284)</f>
        <v>88.69433054491137</v>
      </c>
      <c r="R284" s="17">
        <f>IF(U284=0,(((D284*G284/H284)-P284-S284-T284)/(1-V284)),(((D284*G284/H284)-P284-S284-T284)/(1-V284))-((D284*G284/H284)-P284-S284-T284)*U284/(1-V284))</f>
        <v>176.26066945508862</v>
      </c>
      <c r="S284" s="12">
        <v>0</v>
      </c>
      <c r="T284" s="12">
        <v>0</v>
      </c>
      <c r="U284" s="12">
        <v>0.334752431714485</v>
      </c>
      <c r="V284" s="12">
        <v>0</v>
      </c>
      <c r="W284" s="28">
        <f>IF(V284&gt;U284,1,V284)</f>
        <v>0</v>
      </c>
      <c r="X284" s="12">
        <v>1</v>
      </c>
      <c r="Y284" s="16">
        <v>0</v>
      </c>
      <c r="Z284" s="42" t="str">
        <f>IF(OR(W284=1,W284=0),"0",(Q284-N284))</f>
        <v>0</v>
      </c>
      <c r="AA284" s="53" t="s">
        <v>858</v>
      </c>
      <c r="AB284" s="16" t="s">
        <v>860</v>
      </c>
      <c r="AC284" s="16">
        <v>148.13</v>
      </c>
      <c r="AD284" s="16">
        <v>701.28</v>
      </c>
      <c r="AE284" s="16">
        <f>ROUND(AC284*100,0)</f>
        <v>14813</v>
      </c>
      <c r="AF284" s="16">
        <f>ROUND(AD284*100,0)</f>
        <v>70128</v>
      </c>
      <c r="AG284" s="19" t="str">
        <f>IF(AC284=AD284,"TAM",(CONCATENATE(AE284,"/",AF284)))</f>
        <v>14813/70128</v>
      </c>
      <c r="AH284" s="11" t="s">
        <v>50</v>
      </c>
      <c r="AI284" s="21" t="s">
        <v>50</v>
      </c>
      <c r="AJ284" s="21" t="s">
        <v>859</v>
      </c>
      <c r="AK284" s="54" t="s">
        <v>50</v>
      </c>
      <c r="AL284" s="1" t="s">
        <v>50</v>
      </c>
    </row>
    <row r="285" spans="1:37" ht="12.75" customHeight="1">
      <c r="A285" s="43"/>
      <c r="B285" s="13"/>
      <c r="C285" s="13"/>
      <c r="D285" s="31"/>
      <c r="E285" s="14" t="s">
        <v>50</v>
      </c>
      <c r="F285" s="14"/>
      <c r="G285" s="14"/>
      <c r="H285" s="14"/>
      <c r="I285" s="31"/>
      <c r="J285" s="31"/>
      <c r="K285" s="15"/>
      <c r="L285" s="15"/>
      <c r="M285" s="15"/>
      <c r="N285" s="15"/>
      <c r="O285" s="15"/>
      <c r="P285" s="14"/>
      <c r="Q285" s="14"/>
      <c r="R285" s="14"/>
      <c r="S285" s="14"/>
      <c r="T285" s="14"/>
      <c r="U285" s="14"/>
      <c r="V285" s="14"/>
      <c r="W285" s="14"/>
      <c r="X285" s="14"/>
      <c r="Y285" s="13"/>
      <c r="Z285" s="44"/>
      <c r="AA285" s="43"/>
      <c r="AB285" s="13"/>
      <c r="AC285" s="13"/>
      <c r="AD285" s="13"/>
      <c r="AE285" s="13"/>
      <c r="AF285" s="13"/>
      <c r="AG285" s="13"/>
      <c r="AH285" s="13"/>
      <c r="AI285" s="13"/>
      <c r="AJ285" s="13"/>
      <c r="AK285" s="44"/>
    </row>
    <row r="286" spans="1:38" ht="12.75" customHeight="1">
      <c r="A286" s="41">
        <v>353</v>
      </c>
      <c r="B286" s="10">
        <v>1110</v>
      </c>
      <c r="C286" s="10" t="s">
        <v>861</v>
      </c>
      <c r="D286" s="16">
        <v>1059.82</v>
      </c>
      <c r="E286" s="20" t="s">
        <v>862</v>
      </c>
      <c r="F286" s="20" t="s">
        <v>863</v>
      </c>
      <c r="G286" s="12">
        <v>1</v>
      </c>
      <c r="H286" s="12">
        <v>12</v>
      </c>
      <c r="I286" s="16">
        <f>ROUND(G286,0)</f>
        <v>1</v>
      </c>
      <c r="J286" s="16">
        <f>ROUND(H286,0)</f>
        <v>12</v>
      </c>
      <c r="K286" s="18" t="str">
        <f>IF(I286=J286,"TAM",(CONCATENATE(G286,"/",H286)))</f>
        <v>1/12</v>
      </c>
      <c r="L286" s="29">
        <f>1059.82*1/12</f>
        <v>88.31833333333333</v>
      </c>
      <c r="M286" s="30">
        <v>0</v>
      </c>
      <c r="N286" s="16" t="str">
        <f>IF(M286=0,"0",(O286*M286))</f>
        <v>0</v>
      </c>
      <c r="O286" s="16">
        <f>IF(W286=1,L286,((D286*G286/H286)-P286)/(1-V286)-S286-T286)</f>
        <v>88.31833333333333</v>
      </c>
      <c r="P286" s="16">
        <v>0</v>
      </c>
      <c r="Q286" s="16">
        <f>IF(U286=0,"0",O286*U286)</f>
        <v>29.564776848303786</v>
      </c>
      <c r="R286" s="17">
        <f>IF(U286=0,(((D286*G286/H286)-P286-S286-T286)/(1-V286)),(((D286*G286/H286)-P286-S286-T286)/(1-V286))-((D286*G286/H286)-P286-S286-T286)*U286/(1-V286))</f>
        <v>58.75355648502954</v>
      </c>
      <c r="S286" s="12">
        <v>0</v>
      </c>
      <c r="T286" s="12">
        <v>0</v>
      </c>
      <c r="U286" s="12">
        <v>0.334752431714485</v>
      </c>
      <c r="V286" s="12">
        <v>0</v>
      </c>
      <c r="W286" s="28">
        <f>IF(V286&gt;U286,1,V286)</f>
        <v>0</v>
      </c>
      <c r="X286" s="12">
        <v>1</v>
      </c>
      <c r="Y286" s="16">
        <v>0</v>
      </c>
      <c r="Z286" s="42" t="str">
        <f>IF(OR(W286=1,W286=0),"0",(Q286-N286))</f>
        <v>0</v>
      </c>
      <c r="AA286" s="53" t="s">
        <v>864</v>
      </c>
      <c r="AB286" s="16" t="s">
        <v>866</v>
      </c>
      <c r="AC286" s="16">
        <v>49.38</v>
      </c>
      <c r="AD286" s="16">
        <v>701.28</v>
      </c>
      <c r="AE286" s="16">
        <f>ROUND(AC286*100,0)</f>
        <v>4938</v>
      </c>
      <c r="AF286" s="16">
        <f>ROUND(AD286*100,0)</f>
        <v>70128</v>
      </c>
      <c r="AG286" s="19" t="str">
        <f>IF(AC286=AD286,"TAM",(CONCATENATE(AE286,"/",AF286)))</f>
        <v>4938/70128</v>
      </c>
      <c r="AH286" s="11" t="s">
        <v>50</v>
      </c>
      <c r="AI286" s="21" t="s">
        <v>50</v>
      </c>
      <c r="AJ286" s="21" t="s">
        <v>865</v>
      </c>
      <c r="AK286" s="54" t="s">
        <v>50</v>
      </c>
      <c r="AL286" s="1" t="s">
        <v>50</v>
      </c>
    </row>
    <row r="287" spans="1:37" ht="12.75" customHeight="1">
      <c r="A287" s="43"/>
      <c r="B287" s="13"/>
      <c r="C287" s="13"/>
      <c r="D287" s="31"/>
      <c r="E287" s="14" t="s">
        <v>50</v>
      </c>
      <c r="F287" s="14"/>
      <c r="G287" s="14"/>
      <c r="H287" s="14"/>
      <c r="I287" s="31"/>
      <c r="J287" s="31"/>
      <c r="K287" s="15"/>
      <c r="L287" s="15"/>
      <c r="M287" s="15"/>
      <c r="N287" s="15"/>
      <c r="O287" s="15"/>
      <c r="P287" s="14"/>
      <c r="Q287" s="14"/>
      <c r="R287" s="14"/>
      <c r="S287" s="14"/>
      <c r="T287" s="14"/>
      <c r="U287" s="14"/>
      <c r="V287" s="14"/>
      <c r="W287" s="14"/>
      <c r="X287" s="14"/>
      <c r="Y287" s="13"/>
      <c r="Z287" s="44"/>
      <c r="AA287" s="43"/>
      <c r="AB287" s="13"/>
      <c r="AC287" s="13"/>
      <c r="AD287" s="13"/>
      <c r="AE287" s="13"/>
      <c r="AF287" s="13"/>
      <c r="AG287" s="13"/>
      <c r="AH287" s="13"/>
      <c r="AI287" s="13"/>
      <c r="AJ287" s="13"/>
      <c r="AK287" s="44"/>
    </row>
    <row r="288" spans="1:38" ht="12.75" customHeight="1">
      <c r="A288" s="41">
        <v>351</v>
      </c>
      <c r="B288" s="10">
        <v>1110</v>
      </c>
      <c r="C288" s="10" t="s">
        <v>867</v>
      </c>
      <c r="D288" s="16">
        <v>1059.82</v>
      </c>
      <c r="E288" s="20" t="s">
        <v>868</v>
      </c>
      <c r="F288" s="20" t="s">
        <v>869</v>
      </c>
      <c r="G288" s="12">
        <v>1</v>
      </c>
      <c r="H288" s="12">
        <v>12</v>
      </c>
      <c r="I288" s="16">
        <f>ROUND(G288,0)</f>
        <v>1</v>
      </c>
      <c r="J288" s="16">
        <f>ROUND(H288,0)</f>
        <v>12</v>
      </c>
      <c r="K288" s="18" t="str">
        <f>IF(I288=J288,"TAM",(CONCATENATE(G288,"/",H288)))</f>
        <v>1/12</v>
      </c>
      <c r="L288" s="29">
        <f>1059.82*1/12</f>
        <v>88.31833333333333</v>
      </c>
      <c r="M288" s="30">
        <v>0</v>
      </c>
      <c r="N288" s="16" t="str">
        <f>IF(M288=0,"0",(O288*M288))</f>
        <v>0</v>
      </c>
      <c r="O288" s="16">
        <f>IF(W288=1,L288,((D288*G288/H288)-P288)/(1-V288)-S288-T288)</f>
        <v>88.31833333333333</v>
      </c>
      <c r="P288" s="16">
        <v>0</v>
      </c>
      <c r="Q288" s="16">
        <f>IF(U288=0,"0",O288*U288)</f>
        <v>29.564776848303786</v>
      </c>
      <c r="R288" s="17">
        <f>IF(U288=0,(((D288*G288/H288)-P288-S288-T288)/(1-V288)),(((D288*G288/H288)-P288-S288-T288)/(1-V288))-((D288*G288/H288)-P288-S288-T288)*U288/(1-V288))</f>
        <v>58.75355648502954</v>
      </c>
      <c r="S288" s="12">
        <v>0</v>
      </c>
      <c r="T288" s="12">
        <v>0</v>
      </c>
      <c r="U288" s="12">
        <v>0.334752431714485</v>
      </c>
      <c r="V288" s="12">
        <v>0</v>
      </c>
      <c r="W288" s="28">
        <f>IF(V288&gt;U288,1,V288)</f>
        <v>0</v>
      </c>
      <c r="X288" s="12">
        <v>1</v>
      </c>
      <c r="Y288" s="16">
        <v>0</v>
      </c>
      <c r="Z288" s="42" t="str">
        <f>IF(OR(W288=1,W288=0),"0",(Q288-N288))</f>
        <v>0</v>
      </c>
      <c r="AA288" s="53" t="s">
        <v>870</v>
      </c>
      <c r="AB288" s="16" t="s">
        <v>872</v>
      </c>
      <c r="AC288" s="16">
        <v>49.38</v>
      </c>
      <c r="AD288" s="16">
        <v>701.28</v>
      </c>
      <c r="AE288" s="16">
        <f>ROUND(AC288*100,0)</f>
        <v>4938</v>
      </c>
      <c r="AF288" s="16">
        <f>ROUND(AD288*100,0)</f>
        <v>70128</v>
      </c>
      <c r="AG288" s="19" t="str">
        <f>IF(AC288=AD288,"TAM",(CONCATENATE(AE288,"/",AF288)))</f>
        <v>4938/70128</v>
      </c>
      <c r="AH288" s="11" t="s">
        <v>50</v>
      </c>
      <c r="AI288" s="21" t="s">
        <v>50</v>
      </c>
      <c r="AJ288" s="21" t="s">
        <v>871</v>
      </c>
      <c r="AK288" s="54" t="s">
        <v>50</v>
      </c>
      <c r="AL288" s="1" t="s">
        <v>50</v>
      </c>
    </row>
    <row r="289" spans="1:37" ht="12.75" customHeight="1">
      <c r="A289" s="43"/>
      <c r="B289" s="13"/>
      <c r="C289" s="13"/>
      <c r="D289" s="31"/>
      <c r="E289" s="14" t="s">
        <v>50</v>
      </c>
      <c r="F289" s="14"/>
      <c r="G289" s="14"/>
      <c r="H289" s="14"/>
      <c r="I289" s="31"/>
      <c r="J289" s="31"/>
      <c r="K289" s="15"/>
      <c r="L289" s="15"/>
      <c r="M289" s="15"/>
      <c r="N289" s="15"/>
      <c r="O289" s="15"/>
      <c r="P289" s="14"/>
      <c r="Q289" s="14"/>
      <c r="R289" s="14"/>
      <c r="S289" s="14"/>
      <c r="T289" s="14"/>
      <c r="U289" s="14"/>
      <c r="V289" s="14"/>
      <c r="W289" s="14"/>
      <c r="X289" s="14"/>
      <c r="Y289" s="13"/>
      <c r="Z289" s="44"/>
      <c r="AA289" s="43"/>
      <c r="AB289" s="13"/>
      <c r="AC289" s="13"/>
      <c r="AD289" s="13"/>
      <c r="AE289" s="13"/>
      <c r="AF289" s="13"/>
      <c r="AG289" s="13"/>
      <c r="AH289" s="13"/>
      <c r="AI289" s="13"/>
      <c r="AJ289" s="13"/>
      <c r="AK289" s="44"/>
    </row>
    <row r="290" spans="1:38" ht="12.75" customHeight="1">
      <c r="A290" s="41">
        <v>343</v>
      </c>
      <c r="B290" s="10">
        <v>1110</v>
      </c>
      <c r="C290" s="10" t="s">
        <v>873</v>
      </c>
      <c r="D290" s="16">
        <v>1059.82</v>
      </c>
      <c r="E290" s="20" t="s">
        <v>874</v>
      </c>
      <c r="F290" s="20" t="s">
        <v>875</v>
      </c>
      <c r="G290" s="12">
        <v>3</v>
      </c>
      <c r="H290" s="12">
        <v>64</v>
      </c>
      <c r="I290" s="16">
        <f>ROUND(G290,0)</f>
        <v>3</v>
      </c>
      <c r="J290" s="16">
        <f>ROUND(H290,0)</f>
        <v>64</v>
      </c>
      <c r="K290" s="18" t="str">
        <f>IF(I290=J290,"TAM",(CONCATENATE(G290,"/",H290)))</f>
        <v>3/64</v>
      </c>
      <c r="L290" s="29">
        <f>1059.82*3/64</f>
        <v>49.6790625</v>
      </c>
      <c r="M290" s="30">
        <v>0</v>
      </c>
      <c r="N290" s="16" t="str">
        <f>IF(M290=0,"0",(O290*M290))</f>
        <v>0</v>
      </c>
      <c r="O290" s="16">
        <f>IF(W290=1,L290,((D290*G290/H290)-P290)/(1-V290)-S290-T290)</f>
        <v>49.6790625</v>
      </c>
      <c r="P290" s="16">
        <v>0</v>
      </c>
      <c r="Q290" s="16">
        <f>IF(U290=0,"0",O290*U290)</f>
        <v>16.630186977170883</v>
      </c>
      <c r="R290" s="17">
        <f>IF(U290=0,(((D290*G290/H290)-P290-S290-T290)/(1-V290)),(((D290*G290/H290)-P290-S290-T290)/(1-V290))-((D290*G290/H290)-P290-S290-T290)*U290/(1-V290))</f>
        <v>33.04887552282912</v>
      </c>
      <c r="S290" s="12">
        <v>0</v>
      </c>
      <c r="T290" s="12">
        <v>0</v>
      </c>
      <c r="U290" s="12">
        <v>0.334752431714485</v>
      </c>
      <c r="V290" s="12">
        <v>0</v>
      </c>
      <c r="W290" s="28">
        <f>IF(V290&gt;U290,1,V290)</f>
        <v>0</v>
      </c>
      <c r="X290" s="12">
        <v>1</v>
      </c>
      <c r="Y290" s="16">
        <v>0</v>
      </c>
      <c r="Z290" s="42" t="str">
        <f>IF(OR(W290=1,W290=0),"0",(Q290-N290))</f>
        <v>0</v>
      </c>
      <c r="AA290" s="53" t="s">
        <v>876</v>
      </c>
      <c r="AB290" s="16" t="s">
        <v>878</v>
      </c>
      <c r="AC290" s="16">
        <v>27.77</v>
      </c>
      <c r="AD290" s="16">
        <v>701.28</v>
      </c>
      <c r="AE290" s="16">
        <f>ROUND(AC290*100,0)</f>
        <v>2777</v>
      </c>
      <c r="AF290" s="16">
        <f>ROUND(AD290*100,0)</f>
        <v>70128</v>
      </c>
      <c r="AG290" s="19" t="str">
        <f>IF(AC290=AD290,"TAM",(CONCATENATE(AE290,"/",AF290)))</f>
        <v>2777/70128</v>
      </c>
      <c r="AH290" s="11" t="s">
        <v>50</v>
      </c>
      <c r="AI290" s="21" t="s">
        <v>50</v>
      </c>
      <c r="AJ290" s="21" t="s">
        <v>877</v>
      </c>
      <c r="AK290" s="54" t="s">
        <v>50</v>
      </c>
      <c r="AL290" s="1" t="s">
        <v>50</v>
      </c>
    </row>
    <row r="291" spans="1:37" ht="12.75" customHeight="1">
      <c r="A291" s="43"/>
      <c r="B291" s="13"/>
      <c r="C291" s="13"/>
      <c r="D291" s="31"/>
      <c r="E291" s="14" t="s">
        <v>50</v>
      </c>
      <c r="F291" s="14"/>
      <c r="G291" s="14"/>
      <c r="H291" s="14"/>
      <c r="I291" s="31"/>
      <c r="J291" s="31"/>
      <c r="K291" s="15"/>
      <c r="L291" s="15"/>
      <c r="M291" s="15"/>
      <c r="N291" s="15"/>
      <c r="O291" s="15"/>
      <c r="P291" s="14"/>
      <c r="Q291" s="14"/>
      <c r="R291" s="14"/>
      <c r="S291" s="14"/>
      <c r="T291" s="14"/>
      <c r="U291" s="14"/>
      <c r="V291" s="14"/>
      <c r="W291" s="14"/>
      <c r="X291" s="14"/>
      <c r="Y291" s="13"/>
      <c r="Z291" s="44"/>
      <c r="AA291" s="43"/>
      <c r="AB291" s="13"/>
      <c r="AC291" s="13"/>
      <c r="AD291" s="13"/>
      <c r="AE291" s="13"/>
      <c r="AF291" s="13"/>
      <c r="AG291" s="13"/>
      <c r="AH291" s="13"/>
      <c r="AI291" s="13"/>
      <c r="AJ291" s="13"/>
      <c r="AK291" s="44"/>
    </row>
    <row r="292" spans="1:38" ht="12.75" customHeight="1">
      <c r="A292" s="41">
        <v>354</v>
      </c>
      <c r="B292" s="10">
        <v>1110</v>
      </c>
      <c r="C292" s="10" t="s">
        <v>879</v>
      </c>
      <c r="D292" s="16">
        <v>1059.82</v>
      </c>
      <c r="E292" s="20" t="s">
        <v>880</v>
      </c>
      <c r="F292" s="20" t="s">
        <v>881</v>
      </c>
      <c r="G292" s="12">
        <v>1</v>
      </c>
      <c r="H292" s="12">
        <v>16</v>
      </c>
      <c r="I292" s="16">
        <f>ROUND(G292,0)</f>
        <v>1</v>
      </c>
      <c r="J292" s="16">
        <f>ROUND(H292,0)</f>
        <v>16</v>
      </c>
      <c r="K292" s="18" t="str">
        <f>IF(I292=J292,"TAM",(CONCATENATE(G292,"/",H292)))</f>
        <v>1/16</v>
      </c>
      <c r="L292" s="29">
        <f>1059.82*1/16</f>
        <v>66.23875</v>
      </c>
      <c r="M292" s="30">
        <v>0</v>
      </c>
      <c r="N292" s="16" t="str">
        <f>IF(M292=0,"0",(O292*M292))</f>
        <v>0</v>
      </c>
      <c r="O292" s="16">
        <f>IF(W292=1,L292,((D292*G292/H292)-P292)/(1-V292)-S292-T292)</f>
        <v>66.23875</v>
      </c>
      <c r="P292" s="16">
        <v>0</v>
      </c>
      <c r="Q292" s="16">
        <f>IF(U292=0,"0",O292*U292)</f>
        <v>22.17358263622784</v>
      </c>
      <c r="R292" s="17">
        <f>IF(U292=0,(((D292*G292/H292)-P292-S292-T292)/(1-V292)),(((D292*G292/H292)-P292-S292-T292)/(1-V292))-((D292*G292/H292)-P292-S292-T292)*U292/(1-V292))</f>
        <v>44.065167363772154</v>
      </c>
      <c r="S292" s="12">
        <v>0</v>
      </c>
      <c r="T292" s="12">
        <v>0</v>
      </c>
      <c r="U292" s="12">
        <v>0.334752431714485</v>
      </c>
      <c r="V292" s="12">
        <v>0</v>
      </c>
      <c r="W292" s="28">
        <f>IF(V292&gt;U292,1,V292)</f>
        <v>0</v>
      </c>
      <c r="X292" s="12">
        <v>1</v>
      </c>
      <c r="Y292" s="16">
        <v>0</v>
      </c>
      <c r="Z292" s="42" t="str">
        <f>IF(OR(W292=1,W292=0),"0",(Q292-N292))</f>
        <v>0</v>
      </c>
      <c r="AA292" s="53" t="s">
        <v>883</v>
      </c>
      <c r="AB292" s="16" t="s">
        <v>885</v>
      </c>
      <c r="AC292" s="16">
        <v>37.04</v>
      </c>
      <c r="AD292" s="16">
        <v>701.28</v>
      </c>
      <c r="AE292" s="16">
        <f>ROUND(AC292*100,0)</f>
        <v>3704</v>
      </c>
      <c r="AF292" s="16">
        <f>ROUND(AD292*100,0)</f>
        <v>70128</v>
      </c>
      <c r="AG292" s="19" t="str">
        <f>IF(AC292=AD292,"TAM",(CONCATENATE(AE292,"/",AF292)))</f>
        <v>3704/70128</v>
      </c>
      <c r="AH292" s="11" t="s">
        <v>50</v>
      </c>
      <c r="AI292" s="21" t="s">
        <v>50</v>
      </c>
      <c r="AJ292" s="21" t="s">
        <v>884</v>
      </c>
      <c r="AK292" s="54" t="s">
        <v>50</v>
      </c>
      <c r="AL292" s="1" t="s">
        <v>50</v>
      </c>
    </row>
    <row r="293" spans="1:37" ht="32.25" customHeight="1">
      <c r="A293" s="43"/>
      <c r="B293" s="13"/>
      <c r="C293" s="13"/>
      <c r="D293" s="31"/>
      <c r="E293" s="34" t="s">
        <v>882</v>
      </c>
      <c r="F293" s="14"/>
      <c r="G293" s="14"/>
      <c r="H293" s="14"/>
      <c r="I293" s="31"/>
      <c r="J293" s="31"/>
      <c r="K293" s="15"/>
      <c r="L293" s="15"/>
      <c r="M293" s="15"/>
      <c r="N293" s="15"/>
      <c r="O293" s="15"/>
      <c r="P293" s="14"/>
      <c r="Q293" s="14"/>
      <c r="R293" s="14"/>
      <c r="S293" s="14"/>
      <c r="T293" s="14"/>
      <c r="U293" s="14"/>
      <c r="V293" s="14"/>
      <c r="W293" s="14"/>
      <c r="X293" s="14"/>
      <c r="Y293" s="13"/>
      <c r="Z293" s="44"/>
      <c r="AA293" s="43"/>
      <c r="AB293" s="13"/>
      <c r="AC293" s="13"/>
      <c r="AD293" s="13"/>
      <c r="AE293" s="13"/>
      <c r="AF293" s="13"/>
      <c r="AG293" s="13"/>
      <c r="AH293" s="13"/>
      <c r="AI293" s="13"/>
      <c r="AJ293" s="13"/>
      <c r="AK293" s="44"/>
    </row>
    <row r="294" spans="1:38" ht="12.75" customHeight="1">
      <c r="A294" s="41">
        <v>346</v>
      </c>
      <c r="B294" s="10">
        <v>1110</v>
      </c>
      <c r="C294" s="10" t="s">
        <v>886</v>
      </c>
      <c r="D294" s="16">
        <v>1059.82</v>
      </c>
      <c r="E294" s="20" t="s">
        <v>887</v>
      </c>
      <c r="F294" s="20" t="s">
        <v>888</v>
      </c>
      <c r="G294" s="12">
        <v>3</v>
      </c>
      <c r="H294" s="12">
        <v>64</v>
      </c>
      <c r="I294" s="16">
        <f>ROUND(G294,0)</f>
        <v>3</v>
      </c>
      <c r="J294" s="16">
        <f>ROUND(H294,0)</f>
        <v>64</v>
      </c>
      <c r="K294" s="18" t="str">
        <f>IF(I294=J294,"TAM",(CONCATENATE(G294,"/",H294)))</f>
        <v>3/64</v>
      </c>
      <c r="L294" s="29">
        <f>1059.82*3/64</f>
        <v>49.6790625</v>
      </c>
      <c r="M294" s="30">
        <v>0</v>
      </c>
      <c r="N294" s="16" t="str">
        <f>IF(M294=0,"0",(O294*M294))</f>
        <v>0</v>
      </c>
      <c r="O294" s="16">
        <f>IF(W294=1,L294,((D294*G294/H294)-P294)/(1-V294)-S294-T294)</f>
        <v>49.6790625</v>
      </c>
      <c r="P294" s="16">
        <v>0</v>
      </c>
      <c r="Q294" s="16">
        <f>IF(U294=0,"0",O294*U294)</f>
        <v>16.630186977170883</v>
      </c>
      <c r="R294" s="17">
        <f>IF(U294=0,(((D294*G294/H294)-P294-S294-T294)/(1-V294)),(((D294*G294/H294)-P294-S294-T294)/(1-V294))-((D294*G294/H294)-P294-S294-T294)*U294/(1-V294))</f>
        <v>33.04887552282912</v>
      </c>
      <c r="S294" s="12">
        <v>0</v>
      </c>
      <c r="T294" s="12">
        <v>0</v>
      </c>
      <c r="U294" s="12">
        <v>0.334752431714485</v>
      </c>
      <c r="V294" s="12">
        <v>0</v>
      </c>
      <c r="W294" s="28">
        <f>IF(V294&gt;U294,1,V294)</f>
        <v>0</v>
      </c>
      <c r="X294" s="12">
        <v>1</v>
      </c>
      <c r="Y294" s="16">
        <v>0</v>
      </c>
      <c r="Z294" s="42" t="str">
        <f>IF(OR(W294=1,W294=0),"0",(Q294-N294))</f>
        <v>0</v>
      </c>
      <c r="AA294" s="53" t="s">
        <v>889</v>
      </c>
      <c r="AB294" s="16" t="s">
        <v>891</v>
      </c>
      <c r="AC294" s="16">
        <v>27.77</v>
      </c>
      <c r="AD294" s="16">
        <v>701.28</v>
      </c>
      <c r="AE294" s="16">
        <f>ROUND(AC294*100,0)</f>
        <v>2777</v>
      </c>
      <c r="AF294" s="16">
        <f>ROUND(AD294*100,0)</f>
        <v>70128</v>
      </c>
      <c r="AG294" s="19" t="str">
        <f>IF(AC294=AD294,"TAM",(CONCATENATE(AE294,"/",AF294)))</f>
        <v>2777/70128</v>
      </c>
      <c r="AH294" s="11" t="s">
        <v>50</v>
      </c>
      <c r="AI294" s="21" t="s">
        <v>50</v>
      </c>
      <c r="AJ294" s="21" t="s">
        <v>890</v>
      </c>
      <c r="AK294" s="54" t="s">
        <v>50</v>
      </c>
      <c r="AL294" s="1" t="s">
        <v>50</v>
      </c>
    </row>
    <row r="295" spans="1:37" ht="12.75" customHeight="1">
      <c r="A295" s="43"/>
      <c r="B295" s="13"/>
      <c r="C295" s="13"/>
      <c r="D295" s="31"/>
      <c r="E295" s="14" t="s">
        <v>50</v>
      </c>
      <c r="F295" s="14"/>
      <c r="G295" s="14"/>
      <c r="H295" s="14"/>
      <c r="I295" s="31"/>
      <c r="J295" s="31"/>
      <c r="K295" s="15"/>
      <c r="L295" s="15"/>
      <c r="M295" s="15"/>
      <c r="N295" s="15"/>
      <c r="O295" s="15"/>
      <c r="P295" s="14"/>
      <c r="Q295" s="14"/>
      <c r="R295" s="14"/>
      <c r="S295" s="14"/>
      <c r="T295" s="14"/>
      <c r="U295" s="14"/>
      <c r="V295" s="14"/>
      <c r="W295" s="14"/>
      <c r="X295" s="14"/>
      <c r="Y295" s="13"/>
      <c r="Z295" s="44"/>
      <c r="AA295" s="43"/>
      <c r="AB295" s="13"/>
      <c r="AC295" s="13"/>
      <c r="AD295" s="13"/>
      <c r="AE295" s="13"/>
      <c r="AF295" s="13"/>
      <c r="AG295" s="13"/>
      <c r="AH295" s="13"/>
      <c r="AI295" s="13"/>
      <c r="AJ295" s="13"/>
      <c r="AK295" s="44"/>
    </row>
    <row r="296" spans="1:38" ht="12.75" customHeight="1">
      <c r="A296" s="41">
        <v>374</v>
      </c>
      <c r="B296" s="10">
        <v>1114</v>
      </c>
      <c r="C296" s="10" t="s">
        <v>892</v>
      </c>
      <c r="D296" s="16">
        <v>265.72</v>
      </c>
      <c r="E296" s="20" t="s">
        <v>893</v>
      </c>
      <c r="F296" s="20" t="s">
        <v>894</v>
      </c>
      <c r="G296" s="12">
        <v>1</v>
      </c>
      <c r="H296" s="12">
        <v>1</v>
      </c>
      <c r="I296" s="16">
        <f>ROUND(G296,0)</f>
        <v>1</v>
      </c>
      <c r="J296" s="16">
        <f>ROUND(H296,0)</f>
        <v>1</v>
      </c>
      <c r="K296" s="18" t="str">
        <f>IF(I296=J296,"TAM",(CONCATENATE(G296,"/",H296)))</f>
        <v>TAM</v>
      </c>
      <c r="L296" s="29">
        <f>265.72*1/1</f>
        <v>265.72</v>
      </c>
      <c r="M296" s="30">
        <v>0</v>
      </c>
      <c r="N296" s="16" t="str">
        <f>IF(M296=0,"0",(O296*M296))</f>
        <v>0</v>
      </c>
      <c r="O296" s="16">
        <f>IF(W296=1,L296,((D296*G296/H296)-P296)/(1-V296)-S296-T296)</f>
        <v>265.72</v>
      </c>
      <c r="P296" s="16">
        <v>0</v>
      </c>
      <c r="Q296" s="16">
        <f>IF(U296=0,"0",O296*U296)</f>
        <v>88.95041615517296</v>
      </c>
      <c r="R296" s="17">
        <f>IF(U296=0,(((D296*G296/H296)-P296-S296-T296)/(1-V296)),(((D296*G296/H296)-P296-S296-T296)/(1-V296))-((D296*G296/H296)-P296-S296-T296)*U296/(1-V296))</f>
        <v>176.76958384482708</v>
      </c>
      <c r="S296" s="12">
        <v>0</v>
      </c>
      <c r="T296" s="12">
        <v>0</v>
      </c>
      <c r="U296" s="12">
        <v>0.334752431714485</v>
      </c>
      <c r="V296" s="12">
        <v>0</v>
      </c>
      <c r="W296" s="28">
        <f>IF(V296&gt;U296,1,V296)</f>
        <v>0</v>
      </c>
      <c r="X296" s="12">
        <v>1</v>
      </c>
      <c r="Y296" s="16">
        <v>0</v>
      </c>
      <c r="Z296" s="42" t="str">
        <f>IF(OR(W296=1,W296=0),"0",(Q296-N296))</f>
        <v>0</v>
      </c>
      <c r="AA296" s="53" t="s">
        <v>896</v>
      </c>
      <c r="AB296" s="16" t="s">
        <v>898</v>
      </c>
      <c r="AC296" s="16">
        <v>108.76</v>
      </c>
      <c r="AD296" s="16">
        <v>701.28</v>
      </c>
      <c r="AE296" s="16">
        <f>ROUND(AC296*100,0)</f>
        <v>10876</v>
      </c>
      <c r="AF296" s="16">
        <f>ROUND(AD296*100,0)</f>
        <v>70128</v>
      </c>
      <c r="AG296" s="19" t="str">
        <f>IF(AC296=AD296,"TAM",(CONCATENATE(AE296,"/",AF296)))</f>
        <v>10876/70128</v>
      </c>
      <c r="AH296" s="11" t="s">
        <v>50</v>
      </c>
      <c r="AI296" s="21" t="s">
        <v>50</v>
      </c>
      <c r="AJ296" s="21" t="s">
        <v>897</v>
      </c>
      <c r="AK296" s="54" t="s">
        <v>50</v>
      </c>
      <c r="AL296" s="1" t="s">
        <v>50</v>
      </c>
    </row>
    <row r="297" spans="1:37" ht="100.5" customHeight="1">
      <c r="A297" s="43"/>
      <c r="B297" s="13"/>
      <c r="C297" s="13"/>
      <c r="D297" s="31"/>
      <c r="E297" s="34" t="s">
        <v>895</v>
      </c>
      <c r="F297" s="14"/>
      <c r="G297" s="14"/>
      <c r="H297" s="14"/>
      <c r="I297" s="31"/>
      <c r="J297" s="31"/>
      <c r="K297" s="15"/>
      <c r="L297" s="15"/>
      <c r="M297" s="15"/>
      <c r="N297" s="15"/>
      <c r="O297" s="15"/>
      <c r="P297" s="14"/>
      <c r="Q297" s="14"/>
      <c r="R297" s="14"/>
      <c r="S297" s="14"/>
      <c r="T297" s="14"/>
      <c r="U297" s="14"/>
      <c r="V297" s="14"/>
      <c r="W297" s="14"/>
      <c r="X297" s="14"/>
      <c r="Y297" s="13"/>
      <c r="Z297" s="44"/>
      <c r="AA297" s="43"/>
      <c r="AB297" s="13"/>
      <c r="AC297" s="13"/>
      <c r="AD297" s="13"/>
      <c r="AE297" s="13"/>
      <c r="AF297" s="13"/>
      <c r="AG297" s="13"/>
      <c r="AH297" s="13"/>
      <c r="AI297" s="13"/>
      <c r="AJ297" s="13"/>
      <c r="AK297" s="44"/>
    </row>
    <row r="298" spans="1:38" ht="12.75" customHeight="1">
      <c r="A298" s="41">
        <v>339</v>
      </c>
      <c r="B298" s="10">
        <v>1107</v>
      </c>
      <c r="C298" s="10" t="s">
        <v>899</v>
      </c>
      <c r="D298" s="16">
        <v>274.02</v>
      </c>
      <c r="E298" s="20" t="s">
        <v>900</v>
      </c>
      <c r="F298" s="20" t="s">
        <v>901</v>
      </c>
      <c r="G298" s="12">
        <v>1</v>
      </c>
      <c r="H298" s="12">
        <v>1</v>
      </c>
      <c r="I298" s="16">
        <f>ROUND(G298,0)</f>
        <v>1</v>
      </c>
      <c r="J298" s="16">
        <f>ROUND(H298,0)</f>
        <v>1</v>
      </c>
      <c r="K298" s="18" t="str">
        <f>IF(I298=J298,"TAM",(CONCATENATE(G298,"/",H298)))</f>
        <v>TAM</v>
      </c>
      <c r="L298" s="29">
        <f>274.02*1/1</f>
        <v>274.02</v>
      </c>
      <c r="M298" s="30">
        <v>0</v>
      </c>
      <c r="N298" s="16" t="str">
        <f>IF(M298=0,"0",(O298*M298))</f>
        <v>0</v>
      </c>
      <c r="O298" s="16">
        <f>IF(W298=1,L298,((D298*G298/H298)-P298)/(1-V298)-S298-T298)</f>
        <v>274.02</v>
      </c>
      <c r="P298" s="16">
        <v>0</v>
      </c>
      <c r="Q298" s="16">
        <f>IF(U298=0,"0",O298*U298)</f>
        <v>91.72886133840316</v>
      </c>
      <c r="R298" s="17">
        <f>IF(U298=0,(((D298*G298/H298)-P298-S298-T298)/(1-V298)),(((D298*G298/H298)-P298-S298-T298)/(1-V298))-((D298*G298/H298)-P298-S298-T298)*U298/(1-V298))</f>
        <v>182.29113866159682</v>
      </c>
      <c r="S298" s="12">
        <v>0</v>
      </c>
      <c r="T298" s="12">
        <v>0</v>
      </c>
      <c r="U298" s="12">
        <v>0.334752431714485</v>
      </c>
      <c r="V298" s="12">
        <v>0</v>
      </c>
      <c r="W298" s="28">
        <f>IF(V298&gt;U298,1,V298)</f>
        <v>0</v>
      </c>
      <c r="X298" s="12">
        <v>1</v>
      </c>
      <c r="Y298" s="16">
        <v>0</v>
      </c>
      <c r="Z298" s="42" t="str">
        <f>IF(OR(W298=1,W298=0),"0",(Q298-N298))</f>
        <v>0</v>
      </c>
      <c r="AA298" s="53" t="s">
        <v>902</v>
      </c>
      <c r="AB298" s="16" t="s">
        <v>904</v>
      </c>
      <c r="AC298" s="16">
        <v>182.29</v>
      </c>
      <c r="AD298" s="16">
        <v>415.46</v>
      </c>
      <c r="AE298" s="16">
        <f>ROUND(AC298*100,0)</f>
        <v>18229</v>
      </c>
      <c r="AF298" s="16">
        <f>ROUND(AD298*100,0)</f>
        <v>41546</v>
      </c>
      <c r="AG298" s="19" t="str">
        <f>IF(AC298=AD298,"TAM",(CONCATENATE(AE298,"/",AF298)))</f>
        <v>18229/41546</v>
      </c>
      <c r="AH298" s="11" t="s">
        <v>50</v>
      </c>
      <c r="AI298" s="21" t="s">
        <v>50</v>
      </c>
      <c r="AJ298" s="21" t="s">
        <v>903</v>
      </c>
      <c r="AK298" s="54" t="s">
        <v>50</v>
      </c>
      <c r="AL298" s="1" t="s">
        <v>50</v>
      </c>
    </row>
    <row r="299" spans="1:37" ht="12.75" customHeight="1">
      <c r="A299" s="43"/>
      <c r="B299" s="13"/>
      <c r="C299" s="13"/>
      <c r="D299" s="31"/>
      <c r="E299" s="14" t="s">
        <v>50</v>
      </c>
      <c r="F299" s="14"/>
      <c r="G299" s="14"/>
      <c r="H299" s="14"/>
      <c r="I299" s="31"/>
      <c r="J299" s="31"/>
      <c r="K299" s="15"/>
      <c r="L299" s="15"/>
      <c r="M299" s="15"/>
      <c r="N299" s="15"/>
      <c r="O299" s="15"/>
      <c r="P299" s="14"/>
      <c r="Q299" s="14"/>
      <c r="R299" s="14"/>
      <c r="S299" s="14"/>
      <c r="T299" s="14"/>
      <c r="U299" s="14"/>
      <c r="V299" s="14"/>
      <c r="W299" s="14"/>
      <c r="X299" s="14"/>
      <c r="Y299" s="13"/>
      <c r="Z299" s="44"/>
      <c r="AA299" s="43"/>
      <c r="AB299" s="13"/>
      <c r="AC299" s="13"/>
      <c r="AD299" s="13"/>
      <c r="AE299" s="13"/>
      <c r="AF299" s="13"/>
      <c r="AG299" s="13"/>
      <c r="AH299" s="13"/>
      <c r="AI299" s="13"/>
      <c r="AJ299" s="13"/>
      <c r="AK299" s="44"/>
    </row>
    <row r="300" spans="1:38" ht="12.75" customHeight="1">
      <c r="A300" s="41">
        <v>340</v>
      </c>
      <c r="B300" s="10">
        <v>1108</v>
      </c>
      <c r="C300" s="10" t="s">
        <v>905</v>
      </c>
      <c r="D300" s="16">
        <v>350.5</v>
      </c>
      <c r="E300" s="20" t="s">
        <v>906</v>
      </c>
      <c r="F300" s="20" t="s">
        <v>907</v>
      </c>
      <c r="G300" s="12">
        <v>1</v>
      </c>
      <c r="H300" s="12">
        <v>1</v>
      </c>
      <c r="I300" s="16">
        <f>ROUND(G300,0)</f>
        <v>1</v>
      </c>
      <c r="J300" s="16">
        <f>ROUND(H300,0)</f>
        <v>1</v>
      </c>
      <c r="K300" s="18" t="str">
        <f>IF(I300=J300,"TAM",(CONCATENATE(G300,"/",H300)))</f>
        <v>TAM</v>
      </c>
      <c r="L300" s="29">
        <f>350.5*1/1</f>
        <v>350.5</v>
      </c>
      <c r="M300" s="30">
        <v>0</v>
      </c>
      <c r="N300" s="16" t="str">
        <f>IF(M300=0,"0",(O300*M300))</f>
        <v>0</v>
      </c>
      <c r="O300" s="16">
        <f>IF(W300=1,L300,((D300*G300/H300)-P300)/(1-V300)-S300-T300)</f>
        <v>350.5</v>
      </c>
      <c r="P300" s="16">
        <v>0</v>
      </c>
      <c r="Q300" s="16">
        <f>IF(U300=0,"0",O300*U300)</f>
        <v>117.33072731592699</v>
      </c>
      <c r="R300" s="17">
        <f>IF(U300=0,(((D300*G300/H300)-P300-S300-T300)/(1-V300)),(((D300*G300/H300)-P300-S300-T300)/(1-V300))-((D300*G300/H300)-P300-S300-T300)*U300/(1-V300))</f>
        <v>233.169272684073</v>
      </c>
      <c r="S300" s="12">
        <v>0</v>
      </c>
      <c r="T300" s="12">
        <v>0</v>
      </c>
      <c r="U300" s="12">
        <v>0.334752431714485</v>
      </c>
      <c r="V300" s="12">
        <v>0</v>
      </c>
      <c r="W300" s="28">
        <f>IF(V300&gt;U300,1,V300)</f>
        <v>0</v>
      </c>
      <c r="X300" s="12">
        <v>1</v>
      </c>
      <c r="Y300" s="16">
        <v>0</v>
      </c>
      <c r="Z300" s="42" t="str">
        <f>IF(OR(W300=1,W300=0),"0",(Q300-N300))</f>
        <v>0</v>
      </c>
      <c r="AA300" s="53" t="s">
        <v>908</v>
      </c>
      <c r="AB300" s="16" t="s">
        <v>910</v>
      </c>
      <c r="AC300" s="16">
        <v>233.17</v>
      </c>
      <c r="AD300" s="16">
        <v>415.46</v>
      </c>
      <c r="AE300" s="16">
        <f>ROUND(AC300*100,0)</f>
        <v>23317</v>
      </c>
      <c r="AF300" s="16">
        <f>ROUND(AD300*100,0)</f>
        <v>41546</v>
      </c>
      <c r="AG300" s="19" t="str">
        <f>IF(AC300=AD300,"TAM",(CONCATENATE(AE300,"/",AF300)))</f>
        <v>23317/41546</v>
      </c>
      <c r="AH300" s="11" t="s">
        <v>50</v>
      </c>
      <c r="AI300" s="21" t="s">
        <v>50</v>
      </c>
      <c r="AJ300" s="21" t="s">
        <v>909</v>
      </c>
      <c r="AK300" s="54" t="s">
        <v>50</v>
      </c>
      <c r="AL300" s="1" t="s">
        <v>50</v>
      </c>
    </row>
    <row r="301" spans="1:37" ht="12.75" customHeight="1">
      <c r="A301" s="43"/>
      <c r="B301" s="13"/>
      <c r="C301" s="13"/>
      <c r="D301" s="31"/>
      <c r="E301" s="14" t="s">
        <v>50</v>
      </c>
      <c r="F301" s="14"/>
      <c r="G301" s="14"/>
      <c r="H301" s="14"/>
      <c r="I301" s="31"/>
      <c r="J301" s="31"/>
      <c r="K301" s="15"/>
      <c r="L301" s="15"/>
      <c r="M301" s="15"/>
      <c r="N301" s="15"/>
      <c r="O301" s="15"/>
      <c r="P301" s="14"/>
      <c r="Q301" s="14"/>
      <c r="R301" s="14"/>
      <c r="S301" s="14"/>
      <c r="T301" s="14"/>
      <c r="U301" s="14"/>
      <c r="V301" s="14"/>
      <c r="W301" s="14"/>
      <c r="X301" s="14"/>
      <c r="Y301" s="13"/>
      <c r="Z301" s="44"/>
      <c r="AA301" s="43"/>
      <c r="AB301" s="13"/>
      <c r="AC301" s="13"/>
      <c r="AD301" s="13"/>
      <c r="AE301" s="13"/>
      <c r="AF301" s="13"/>
      <c r="AG301" s="13"/>
      <c r="AH301" s="13"/>
      <c r="AI301" s="13"/>
      <c r="AJ301" s="13"/>
      <c r="AK301" s="44"/>
    </row>
    <row r="302" spans="1:38" ht="12.75" customHeight="1">
      <c r="A302" s="41">
        <v>358</v>
      </c>
      <c r="B302" s="10">
        <v>1111</v>
      </c>
      <c r="C302" s="10" t="s">
        <v>911</v>
      </c>
      <c r="D302" s="16">
        <v>425.02</v>
      </c>
      <c r="E302" s="20" t="s">
        <v>912</v>
      </c>
      <c r="F302" s="20" t="s">
        <v>913</v>
      </c>
      <c r="G302" s="12">
        <v>1</v>
      </c>
      <c r="H302" s="12">
        <v>1</v>
      </c>
      <c r="I302" s="16">
        <f>ROUND(G302,0)</f>
        <v>1</v>
      </c>
      <c r="J302" s="16">
        <f>ROUND(H302,0)</f>
        <v>1</v>
      </c>
      <c r="K302" s="18" t="str">
        <f>IF(I302=J302,"TAM",(CONCATENATE(G302,"/",H302)))</f>
        <v>TAM</v>
      </c>
      <c r="L302" s="29">
        <f>425.02*1/1</f>
        <v>425.02</v>
      </c>
      <c r="M302" s="30">
        <v>0</v>
      </c>
      <c r="N302" s="16" t="str">
        <f>IF(M302=0,"0",(O302*M302))</f>
        <v>0</v>
      </c>
      <c r="O302" s="16">
        <f>IF(W302=1,L302,((D302*G302/H302)-P302)/(1-V302)-S302-T302)</f>
        <v>425.02</v>
      </c>
      <c r="P302" s="16">
        <v>0</v>
      </c>
      <c r="Q302" s="16">
        <f>IF(U302=0,"0",O302*U302)</f>
        <v>142.2764785272904</v>
      </c>
      <c r="R302" s="17">
        <f>IF(U302=0,(((D302*G302/H302)-P302-S302-T302)/(1-V302)),(((D302*G302/H302)-P302-S302-T302)/(1-V302))-((D302*G302/H302)-P302-S302-T302)*U302/(1-V302))</f>
        <v>282.7435214727096</v>
      </c>
      <c r="S302" s="12">
        <v>0</v>
      </c>
      <c r="T302" s="12">
        <v>0</v>
      </c>
      <c r="U302" s="12">
        <v>0.334752431714485</v>
      </c>
      <c r="V302" s="12">
        <v>0</v>
      </c>
      <c r="W302" s="28">
        <f>IF(V302&gt;U302,1,V302)</f>
        <v>0</v>
      </c>
      <c r="X302" s="12">
        <v>1</v>
      </c>
      <c r="Y302" s="16">
        <v>0</v>
      </c>
      <c r="Z302" s="42" t="str">
        <f>IF(OR(W302=1,W302=0),"0",(Q302-N302))</f>
        <v>0</v>
      </c>
      <c r="AA302" s="53" t="s">
        <v>915</v>
      </c>
      <c r="AB302" s="16" t="s">
        <v>917</v>
      </c>
      <c r="AC302" s="16">
        <v>282.74</v>
      </c>
      <c r="AD302" s="16">
        <v>350.75</v>
      </c>
      <c r="AE302" s="16">
        <f>ROUND(AC302*100,0)</f>
        <v>28274</v>
      </c>
      <c r="AF302" s="16">
        <f>ROUND(AD302*100,0)</f>
        <v>35075</v>
      </c>
      <c r="AG302" s="19" t="str">
        <f>IF(AC302=AD302,"TAM",(CONCATENATE(AE302,"/",AF302)))</f>
        <v>28274/35075</v>
      </c>
      <c r="AH302" s="11" t="s">
        <v>50</v>
      </c>
      <c r="AI302" s="21" t="s">
        <v>50</v>
      </c>
      <c r="AJ302" s="21" t="s">
        <v>916</v>
      </c>
      <c r="AK302" s="54" t="s">
        <v>50</v>
      </c>
      <c r="AL302" s="1" t="s">
        <v>50</v>
      </c>
    </row>
    <row r="303" spans="1:37" ht="102" customHeight="1">
      <c r="A303" s="43"/>
      <c r="B303" s="13"/>
      <c r="C303" s="13"/>
      <c r="D303" s="31"/>
      <c r="E303" s="34" t="s">
        <v>914</v>
      </c>
      <c r="F303" s="14"/>
      <c r="G303" s="14"/>
      <c r="H303" s="14"/>
      <c r="I303" s="31"/>
      <c r="J303" s="31"/>
      <c r="K303" s="15"/>
      <c r="L303" s="15"/>
      <c r="M303" s="15"/>
      <c r="N303" s="15"/>
      <c r="O303" s="15"/>
      <c r="P303" s="14"/>
      <c r="Q303" s="14"/>
      <c r="R303" s="14"/>
      <c r="S303" s="14"/>
      <c r="T303" s="14"/>
      <c r="U303" s="14"/>
      <c r="V303" s="14"/>
      <c r="W303" s="14"/>
      <c r="X303" s="14"/>
      <c r="Y303" s="13"/>
      <c r="Z303" s="44"/>
      <c r="AA303" s="43"/>
      <c r="AB303" s="13"/>
      <c r="AC303" s="13"/>
      <c r="AD303" s="13"/>
      <c r="AE303" s="13"/>
      <c r="AF303" s="13"/>
      <c r="AG303" s="13"/>
      <c r="AH303" s="13"/>
      <c r="AI303" s="13"/>
      <c r="AJ303" s="13"/>
      <c r="AK303" s="44"/>
    </row>
    <row r="304" spans="1:38" ht="12.75" customHeight="1">
      <c r="A304" s="41">
        <v>374</v>
      </c>
      <c r="B304" s="10">
        <v>1114</v>
      </c>
      <c r="C304" s="10" t="s">
        <v>918</v>
      </c>
      <c r="D304" s="16">
        <v>265.72</v>
      </c>
      <c r="E304" s="20" t="s">
        <v>919</v>
      </c>
      <c r="F304" s="20" t="s">
        <v>920</v>
      </c>
      <c r="G304" s="12">
        <v>1</v>
      </c>
      <c r="H304" s="12">
        <v>1</v>
      </c>
      <c r="I304" s="16">
        <f>ROUND(G304,0)</f>
        <v>1</v>
      </c>
      <c r="J304" s="16">
        <f>ROUND(H304,0)</f>
        <v>1</v>
      </c>
      <c r="K304" s="18" t="str">
        <f>IF(I304=J304,"TAM",(CONCATENATE(G304,"/",H304)))</f>
        <v>TAM</v>
      </c>
      <c r="L304" s="29">
        <f>265.72*1/1</f>
        <v>265.72</v>
      </c>
      <c r="M304" s="30">
        <v>0</v>
      </c>
      <c r="N304" s="16" t="str">
        <f>IF(M304=0,"0",(O304*M304))</f>
        <v>0</v>
      </c>
      <c r="O304" s="16">
        <f>IF(W304=1,L304,((D304*G304/H304)-P304)/(1-V304)-S304-T304)</f>
        <v>265.72</v>
      </c>
      <c r="P304" s="16">
        <v>0</v>
      </c>
      <c r="Q304" s="16">
        <f>IF(U304=0,"0",O304*U304)</f>
        <v>88.95041615517296</v>
      </c>
      <c r="R304" s="17">
        <f>IF(U304=0,(((D304*G304/H304)-P304-S304-T304)/(1-V304)),(((D304*G304/H304)-P304-S304-T304)/(1-V304))-((D304*G304/H304)-P304-S304-T304)*U304/(1-V304))</f>
        <v>176.76958384482708</v>
      </c>
      <c r="S304" s="12">
        <v>0</v>
      </c>
      <c r="T304" s="12">
        <v>0</v>
      </c>
      <c r="U304" s="12">
        <v>0.334752431714485</v>
      </c>
      <c r="V304" s="12">
        <v>0</v>
      </c>
      <c r="W304" s="28">
        <f>IF(V304&gt;U304,1,V304)</f>
        <v>0</v>
      </c>
      <c r="X304" s="12">
        <v>1</v>
      </c>
      <c r="Y304" s="16">
        <v>0</v>
      </c>
      <c r="Z304" s="42" t="str">
        <f>IF(OR(W304=1,W304=0),"0",(Q304-N304))</f>
        <v>0</v>
      </c>
      <c r="AA304" s="53" t="s">
        <v>922</v>
      </c>
      <c r="AB304" s="16" t="s">
        <v>924</v>
      </c>
      <c r="AC304" s="16">
        <v>68.01</v>
      </c>
      <c r="AD304" s="16">
        <v>350.75</v>
      </c>
      <c r="AE304" s="16">
        <f>ROUND(AC304*100,0)</f>
        <v>6801</v>
      </c>
      <c r="AF304" s="16">
        <f>ROUND(AD304*100,0)</f>
        <v>35075</v>
      </c>
      <c r="AG304" s="19" t="str">
        <f>IF(AC304=AD304,"TAM",(CONCATENATE(AE304,"/",AF304)))</f>
        <v>6801/35075</v>
      </c>
      <c r="AH304" s="11" t="s">
        <v>50</v>
      </c>
      <c r="AI304" s="21" t="s">
        <v>50</v>
      </c>
      <c r="AJ304" s="21" t="s">
        <v>923</v>
      </c>
      <c r="AK304" s="54" t="s">
        <v>50</v>
      </c>
      <c r="AL304" s="1" t="s">
        <v>50</v>
      </c>
    </row>
    <row r="305" spans="1:37" ht="102.75" customHeight="1">
      <c r="A305" s="43"/>
      <c r="B305" s="13"/>
      <c r="C305" s="13"/>
      <c r="D305" s="31"/>
      <c r="E305" s="34" t="s">
        <v>921</v>
      </c>
      <c r="F305" s="14"/>
      <c r="G305" s="14"/>
      <c r="H305" s="14"/>
      <c r="I305" s="31"/>
      <c r="J305" s="31"/>
      <c r="K305" s="15"/>
      <c r="L305" s="15"/>
      <c r="M305" s="15"/>
      <c r="N305" s="15"/>
      <c r="O305" s="15"/>
      <c r="P305" s="14"/>
      <c r="Q305" s="14"/>
      <c r="R305" s="14"/>
      <c r="S305" s="14"/>
      <c r="T305" s="14"/>
      <c r="U305" s="14"/>
      <c r="V305" s="14"/>
      <c r="W305" s="14"/>
      <c r="X305" s="14"/>
      <c r="Y305" s="13"/>
      <c r="Z305" s="44"/>
      <c r="AA305" s="43"/>
      <c r="AB305" s="13"/>
      <c r="AC305" s="13"/>
      <c r="AD305" s="13"/>
      <c r="AE305" s="13"/>
      <c r="AF305" s="13"/>
      <c r="AG305" s="13"/>
      <c r="AH305" s="13"/>
      <c r="AI305" s="13"/>
      <c r="AJ305" s="13"/>
      <c r="AK305" s="44"/>
    </row>
    <row r="306" spans="1:38" ht="21.75" customHeight="1">
      <c r="A306" s="41">
        <v>325</v>
      </c>
      <c r="B306" s="10">
        <v>1102</v>
      </c>
      <c r="C306" s="10" t="s">
        <v>925</v>
      </c>
      <c r="D306" s="16">
        <v>576.04</v>
      </c>
      <c r="E306" s="20" t="s">
        <v>926</v>
      </c>
      <c r="F306" s="20" t="s">
        <v>927</v>
      </c>
      <c r="G306" s="12">
        <v>1</v>
      </c>
      <c r="H306" s="12">
        <v>1</v>
      </c>
      <c r="I306" s="16">
        <f>ROUND(G306,0)</f>
        <v>1</v>
      </c>
      <c r="J306" s="16">
        <f>ROUND(H306,0)</f>
        <v>1</v>
      </c>
      <c r="K306" s="18" t="str">
        <f>IF(I306=J306,"TAM",(CONCATENATE(G306,"/",H306)))</f>
        <v>TAM</v>
      </c>
      <c r="L306" s="29">
        <f>576.04*1/1</f>
        <v>576.04</v>
      </c>
      <c r="M306" s="30">
        <v>0</v>
      </c>
      <c r="N306" s="16" t="str">
        <f>IF(M306=0,"0",(O306*M306))</f>
        <v>0</v>
      </c>
      <c r="O306" s="16">
        <f>IF(W306=1,L306,((D306*G306/H306)-P306)/(1-V306)-S306-T306)</f>
        <v>576.04</v>
      </c>
      <c r="P306" s="16">
        <v>0</v>
      </c>
      <c r="Q306" s="16">
        <f>IF(U306=0,"0",O306*U306)</f>
        <v>192.83079076481192</v>
      </c>
      <c r="R306" s="17">
        <f>IF(U306=0,(((D306*G306/H306)-P306-S306-T306)/(1-V306)),(((D306*G306/H306)-P306-S306-T306)/(1-V306))-((D306*G306/H306)-P306-S306-T306)*U306/(1-V306))</f>
        <v>383.20920923518804</v>
      </c>
      <c r="S306" s="12">
        <v>0</v>
      </c>
      <c r="T306" s="12">
        <v>0</v>
      </c>
      <c r="U306" s="12">
        <v>0.334752431714485</v>
      </c>
      <c r="V306" s="12">
        <v>0</v>
      </c>
      <c r="W306" s="28">
        <f>IF(V306&gt;U306,1,V306)</f>
        <v>0</v>
      </c>
      <c r="X306" s="12">
        <v>1</v>
      </c>
      <c r="Y306" s="16">
        <v>0</v>
      </c>
      <c r="Z306" s="42" t="str">
        <f>IF(OR(W306=1,W306=0),"0",(Q306-N306))</f>
        <v>0</v>
      </c>
      <c r="AA306" s="53" t="s">
        <v>928</v>
      </c>
      <c r="AB306" s="16" t="s">
        <v>929</v>
      </c>
      <c r="AC306" s="16">
        <v>143.89</v>
      </c>
      <c r="AD306" s="16">
        <v>399.07</v>
      </c>
      <c r="AE306" s="16">
        <f>ROUND(AC306*100,0)</f>
        <v>14389</v>
      </c>
      <c r="AF306" s="16">
        <f>ROUND(AD306*100,0)</f>
        <v>39907</v>
      </c>
      <c r="AG306" s="19" t="str">
        <f>IF(AC306=AD306,"TAM",(CONCATENATE(AE306,"/",AF306)))</f>
        <v>14389/39907</v>
      </c>
      <c r="AH306" s="11" t="s">
        <v>50</v>
      </c>
      <c r="AI306" s="21" t="s">
        <v>50</v>
      </c>
      <c r="AJ306" s="77" t="s">
        <v>2427</v>
      </c>
      <c r="AK306" s="54" t="s">
        <v>50</v>
      </c>
      <c r="AL306" s="1" t="s">
        <v>50</v>
      </c>
    </row>
    <row r="307" spans="1:37" ht="21.75" customHeight="1">
      <c r="A307" s="43"/>
      <c r="B307" s="13"/>
      <c r="C307" s="13"/>
      <c r="D307" s="31"/>
      <c r="E307" s="14" t="s">
        <v>50</v>
      </c>
      <c r="F307" s="14"/>
      <c r="G307" s="14"/>
      <c r="H307" s="14"/>
      <c r="I307" s="31"/>
      <c r="J307" s="31"/>
      <c r="K307" s="15"/>
      <c r="L307" s="15"/>
      <c r="M307" s="15"/>
      <c r="N307" s="15"/>
      <c r="O307" s="15"/>
      <c r="P307" s="14"/>
      <c r="Q307" s="14"/>
      <c r="R307" s="14"/>
      <c r="S307" s="14"/>
      <c r="T307" s="14"/>
      <c r="U307" s="14"/>
      <c r="V307" s="14"/>
      <c r="W307" s="14"/>
      <c r="X307" s="14"/>
      <c r="Y307" s="13"/>
      <c r="Z307" s="44"/>
      <c r="AA307" s="43"/>
      <c r="AB307" s="13"/>
      <c r="AC307" s="13"/>
      <c r="AD307" s="13"/>
      <c r="AE307" s="13"/>
      <c r="AF307" s="13"/>
      <c r="AG307" s="13"/>
      <c r="AH307" s="13"/>
      <c r="AI307" s="13"/>
      <c r="AJ307" s="78"/>
      <c r="AK307" s="44"/>
    </row>
    <row r="308" spans="1:38" ht="12.75" customHeight="1">
      <c r="A308" s="41">
        <v>326</v>
      </c>
      <c r="B308" s="10">
        <v>1103</v>
      </c>
      <c r="C308" s="10" t="s">
        <v>930</v>
      </c>
      <c r="D308" s="16">
        <v>188.11</v>
      </c>
      <c r="E308" s="20" t="s">
        <v>931</v>
      </c>
      <c r="F308" s="20" t="s">
        <v>932</v>
      </c>
      <c r="G308" s="12">
        <v>1</v>
      </c>
      <c r="H308" s="12">
        <v>1</v>
      </c>
      <c r="I308" s="16">
        <f>ROUND(G308,0)</f>
        <v>1</v>
      </c>
      <c r="J308" s="16">
        <f>ROUND(H308,0)</f>
        <v>1</v>
      </c>
      <c r="K308" s="18" t="str">
        <f>IF(I308=J308,"TAM",(CONCATENATE(G308,"/",H308)))</f>
        <v>TAM</v>
      </c>
      <c r="L308" s="29">
        <f>188.11*1/1</f>
        <v>188.11</v>
      </c>
      <c r="M308" s="30">
        <v>0</v>
      </c>
      <c r="N308" s="16" t="str">
        <f>IF(M308=0,"0",(O308*M308))</f>
        <v>0</v>
      </c>
      <c r="O308" s="16">
        <f>IF(W308=1,L308,((D308*G308/H308)-P308)/(1-V308)-S308-T308)</f>
        <v>188.11</v>
      </c>
      <c r="P308" s="16">
        <v>0</v>
      </c>
      <c r="Q308" s="16">
        <f>IF(U308=0,"0",O308*U308)</f>
        <v>62.970279929811774</v>
      </c>
      <c r="R308" s="17">
        <f>IF(U308=0,(((D308*G308/H308)-P308-S308-T308)/(1-V308)),(((D308*G308/H308)-P308-S308-T308)/(1-V308))-((D308*G308/H308)-P308-S308-T308)*U308/(1-V308))</f>
        <v>125.13972007018825</v>
      </c>
      <c r="S308" s="12">
        <v>0</v>
      </c>
      <c r="T308" s="12">
        <v>0</v>
      </c>
      <c r="U308" s="12">
        <v>0.334752431714485</v>
      </c>
      <c r="V308" s="12">
        <v>0</v>
      </c>
      <c r="W308" s="28">
        <f>IF(V308&gt;U308,1,V308)</f>
        <v>0</v>
      </c>
      <c r="X308" s="12">
        <v>1</v>
      </c>
      <c r="Y308" s="16">
        <v>0</v>
      </c>
      <c r="Z308" s="42" t="str">
        <f>IF(OR(W308=1,W308=0),"0",(Q308-N308))</f>
        <v>0</v>
      </c>
      <c r="AA308" s="53" t="s">
        <v>934</v>
      </c>
      <c r="AB308" s="16" t="s">
        <v>935</v>
      </c>
      <c r="AC308" s="16">
        <v>125.14</v>
      </c>
      <c r="AD308" s="16">
        <v>399.07</v>
      </c>
      <c r="AE308" s="16">
        <f>ROUND(AC308*100,0)</f>
        <v>12514</v>
      </c>
      <c r="AF308" s="16">
        <f>ROUND(AD308*100,0)</f>
        <v>39907</v>
      </c>
      <c r="AG308" s="19" t="str">
        <f>IF(AC308=AD308,"TAM",(CONCATENATE(AE308,"/",AF308)))</f>
        <v>12514/39907</v>
      </c>
      <c r="AH308" s="11" t="s">
        <v>50</v>
      </c>
      <c r="AI308" s="21" t="s">
        <v>50</v>
      </c>
      <c r="AJ308" s="77" t="s">
        <v>2427</v>
      </c>
      <c r="AK308" s="54" t="s">
        <v>50</v>
      </c>
      <c r="AL308" s="1" t="s">
        <v>50</v>
      </c>
    </row>
    <row r="309" spans="1:37" ht="102.75" customHeight="1">
      <c r="A309" s="43"/>
      <c r="B309" s="13"/>
      <c r="C309" s="13"/>
      <c r="D309" s="31"/>
      <c r="E309" s="34" t="s">
        <v>933</v>
      </c>
      <c r="F309" s="14"/>
      <c r="G309" s="14"/>
      <c r="H309" s="14"/>
      <c r="I309" s="31"/>
      <c r="J309" s="31"/>
      <c r="K309" s="15"/>
      <c r="L309" s="15"/>
      <c r="M309" s="15"/>
      <c r="N309" s="15"/>
      <c r="O309" s="15"/>
      <c r="P309" s="14"/>
      <c r="Q309" s="14"/>
      <c r="R309" s="14"/>
      <c r="S309" s="14"/>
      <c r="T309" s="14"/>
      <c r="U309" s="14"/>
      <c r="V309" s="14"/>
      <c r="W309" s="14"/>
      <c r="X309" s="14"/>
      <c r="Y309" s="13"/>
      <c r="Z309" s="44"/>
      <c r="AA309" s="43"/>
      <c r="AB309" s="13"/>
      <c r="AC309" s="13"/>
      <c r="AD309" s="13"/>
      <c r="AE309" s="13"/>
      <c r="AF309" s="13"/>
      <c r="AG309" s="13"/>
      <c r="AH309" s="13"/>
      <c r="AI309" s="13"/>
      <c r="AJ309" s="78"/>
      <c r="AK309" s="44"/>
    </row>
    <row r="310" spans="1:38" ht="17.25" customHeight="1">
      <c r="A310" s="41">
        <v>337</v>
      </c>
      <c r="B310" s="10">
        <v>1104</v>
      </c>
      <c r="C310" s="10" t="s">
        <v>936</v>
      </c>
      <c r="D310" s="16">
        <v>195.47</v>
      </c>
      <c r="E310" s="20" t="s">
        <v>937</v>
      </c>
      <c r="F310" s="20" t="s">
        <v>938</v>
      </c>
      <c r="G310" s="12">
        <v>1</v>
      </c>
      <c r="H310" s="12">
        <v>1</v>
      </c>
      <c r="I310" s="16">
        <f>ROUND(G310,0)</f>
        <v>1</v>
      </c>
      <c r="J310" s="16">
        <f>ROUND(H310,0)</f>
        <v>1</v>
      </c>
      <c r="K310" s="18" t="str">
        <f>IF(I310=J310,"TAM",(CONCATENATE(G310,"/",H310)))</f>
        <v>TAM</v>
      </c>
      <c r="L310" s="29">
        <f>195.47*1/1</f>
        <v>195.47</v>
      </c>
      <c r="M310" s="30">
        <v>0</v>
      </c>
      <c r="N310" s="16" t="str">
        <f>IF(M310=0,"0",(O310*M310))</f>
        <v>0</v>
      </c>
      <c r="O310" s="16">
        <f>IF(W310=1,L310,((D310*G310/H310)-P310)/(1-V310)-S310-T310)</f>
        <v>195.47</v>
      </c>
      <c r="P310" s="16">
        <v>0</v>
      </c>
      <c r="Q310" s="16">
        <f>IF(U310=0,"0",O310*U310)</f>
        <v>65.43405782723038</v>
      </c>
      <c r="R310" s="17">
        <f>IF(U310=0,(((D310*G310/H310)-P310-S310-T310)/(1-V310)),(((D310*G310/H310)-P310-S310-T310)/(1-V310))-((D310*G310/H310)-P310-S310-T310)*U310/(1-V310))</f>
        <v>130.03594217276964</v>
      </c>
      <c r="S310" s="12">
        <v>0</v>
      </c>
      <c r="T310" s="12">
        <v>0</v>
      </c>
      <c r="U310" s="12">
        <v>0.334752431714485</v>
      </c>
      <c r="V310" s="12">
        <v>0</v>
      </c>
      <c r="W310" s="28">
        <f>IF(V310&gt;U310,1,V310)</f>
        <v>0</v>
      </c>
      <c r="X310" s="12">
        <v>1</v>
      </c>
      <c r="Y310" s="16">
        <v>0</v>
      </c>
      <c r="Z310" s="42" t="str">
        <f>IF(OR(W310=1,W310=0),"0",(Q310-N310))</f>
        <v>0</v>
      </c>
      <c r="AA310" s="53" t="s">
        <v>939</v>
      </c>
      <c r="AB310" s="16" t="s">
        <v>940</v>
      </c>
      <c r="AC310" s="16">
        <v>130.04</v>
      </c>
      <c r="AD310" s="16">
        <v>399.07</v>
      </c>
      <c r="AE310" s="16">
        <f>ROUND(AC310*100,0)</f>
        <v>13004</v>
      </c>
      <c r="AF310" s="16">
        <f>ROUND(AD310*100,0)</f>
        <v>39907</v>
      </c>
      <c r="AG310" s="19" t="str">
        <f>IF(AC310=AD310,"TAM",(CONCATENATE(AE310,"/",AF310)))</f>
        <v>13004/39907</v>
      </c>
      <c r="AH310" s="11" t="s">
        <v>50</v>
      </c>
      <c r="AI310" s="21" t="s">
        <v>50</v>
      </c>
      <c r="AJ310" s="77" t="s">
        <v>2427</v>
      </c>
      <c r="AK310" s="54" t="s">
        <v>50</v>
      </c>
      <c r="AL310" s="1" t="s">
        <v>50</v>
      </c>
    </row>
    <row r="311" spans="1:37" ht="17.25" customHeight="1">
      <c r="A311" s="43"/>
      <c r="B311" s="13"/>
      <c r="C311" s="13"/>
      <c r="D311" s="31"/>
      <c r="E311" s="14" t="s">
        <v>50</v>
      </c>
      <c r="F311" s="14"/>
      <c r="G311" s="14"/>
      <c r="H311" s="14"/>
      <c r="I311" s="31"/>
      <c r="J311" s="31"/>
      <c r="K311" s="15"/>
      <c r="L311" s="15"/>
      <c r="M311" s="15"/>
      <c r="N311" s="15"/>
      <c r="O311" s="15"/>
      <c r="P311" s="14"/>
      <c r="Q311" s="14"/>
      <c r="R311" s="14"/>
      <c r="S311" s="14"/>
      <c r="T311" s="14"/>
      <c r="U311" s="14"/>
      <c r="V311" s="14"/>
      <c r="W311" s="14"/>
      <c r="X311" s="14"/>
      <c r="Y311" s="13"/>
      <c r="Z311" s="44"/>
      <c r="AA311" s="43"/>
      <c r="AB311" s="13"/>
      <c r="AC311" s="13"/>
      <c r="AD311" s="13"/>
      <c r="AE311" s="13"/>
      <c r="AF311" s="13"/>
      <c r="AG311" s="13"/>
      <c r="AH311" s="13"/>
      <c r="AI311" s="13"/>
      <c r="AJ311" s="78"/>
      <c r="AK311" s="44"/>
    </row>
    <row r="312" spans="1:38" ht="12.75" customHeight="1">
      <c r="A312" s="41">
        <v>178</v>
      </c>
      <c r="B312" s="10">
        <v>1059</v>
      </c>
      <c r="C312" s="10" t="s">
        <v>941</v>
      </c>
      <c r="D312" s="16">
        <v>817.88</v>
      </c>
      <c r="E312" s="20" t="s">
        <v>942</v>
      </c>
      <c r="F312" s="20" t="s">
        <v>943</v>
      </c>
      <c r="G312" s="12">
        <v>7</v>
      </c>
      <c r="H312" s="12">
        <v>48</v>
      </c>
      <c r="I312" s="16">
        <f>ROUND(G312,0)</f>
        <v>7</v>
      </c>
      <c r="J312" s="16">
        <f>ROUND(H312,0)</f>
        <v>48</v>
      </c>
      <c r="K312" s="18" t="str">
        <f>IF(I312=J312,"TAM",(CONCATENATE(G312,"/",H312)))</f>
        <v>7/48</v>
      </c>
      <c r="L312" s="29">
        <f>817.88*7/48</f>
        <v>119.27416666666667</v>
      </c>
      <c r="M312" s="30">
        <v>0</v>
      </c>
      <c r="N312" s="16" t="str">
        <f>IF(M312=0,"0",(O312*M312))</f>
        <v>0</v>
      </c>
      <c r="O312" s="16">
        <f>IF(W312=1,L312,((D312*G312/H312)-P312)/(1-V312)-S312-T312)</f>
        <v>119.27416666666666</v>
      </c>
      <c r="P312" s="16">
        <v>0</v>
      </c>
      <c r="Q312" s="16">
        <f>IF(U312=0,"0",O312*U312)</f>
        <v>39.927317332385435</v>
      </c>
      <c r="R312" s="17">
        <f>IF(U312=0,(((D312*G312/H312)-P312-S312-T312)/(1-V312)),(((D312*G312/H312)-P312-S312-T312)/(1-V312))-((D312*G312/H312)-P312-S312-T312)*U312/(1-V312))</f>
        <v>79.34684933428122</v>
      </c>
      <c r="S312" s="12">
        <v>0</v>
      </c>
      <c r="T312" s="12">
        <v>0</v>
      </c>
      <c r="U312" s="12">
        <v>0.334752431714485</v>
      </c>
      <c r="V312" s="12">
        <v>0</v>
      </c>
      <c r="W312" s="28">
        <f>IF(V312&gt;U312,1,V312)</f>
        <v>0</v>
      </c>
      <c r="X312" s="12">
        <v>1</v>
      </c>
      <c r="Y312" s="16">
        <v>0</v>
      </c>
      <c r="Z312" s="42" t="str">
        <f>IF(OR(W312=1,W312=0),"0",(Q312-N312))</f>
        <v>0</v>
      </c>
      <c r="AA312" s="53" t="s">
        <v>944</v>
      </c>
      <c r="AB312" s="16" t="s">
        <v>946</v>
      </c>
      <c r="AC312" s="16">
        <v>22.98</v>
      </c>
      <c r="AD312" s="16">
        <v>350.52</v>
      </c>
      <c r="AE312" s="16">
        <f>ROUND(AC312*100,0)</f>
        <v>2298</v>
      </c>
      <c r="AF312" s="16">
        <f>ROUND(AD312*100,0)</f>
        <v>35052</v>
      </c>
      <c r="AG312" s="19" t="str">
        <f>IF(AC312=AD312,"TAM",(CONCATENATE(AE312,"/",AF312)))</f>
        <v>2298/35052</v>
      </c>
      <c r="AH312" s="11" t="s">
        <v>50</v>
      </c>
      <c r="AI312" s="21" t="s">
        <v>50</v>
      </c>
      <c r="AJ312" s="21" t="s">
        <v>945</v>
      </c>
      <c r="AK312" s="54" t="s">
        <v>50</v>
      </c>
      <c r="AL312" s="1" t="s">
        <v>50</v>
      </c>
    </row>
    <row r="313" spans="1:37" ht="12.75" customHeight="1">
      <c r="A313" s="43"/>
      <c r="B313" s="13"/>
      <c r="C313" s="13"/>
      <c r="D313" s="31"/>
      <c r="E313" s="14" t="s">
        <v>50</v>
      </c>
      <c r="F313" s="14"/>
      <c r="G313" s="14"/>
      <c r="H313" s="14"/>
      <c r="I313" s="31"/>
      <c r="J313" s="31"/>
      <c r="K313" s="15"/>
      <c r="L313" s="15"/>
      <c r="M313" s="15"/>
      <c r="N313" s="15"/>
      <c r="O313" s="15"/>
      <c r="P313" s="14"/>
      <c r="Q313" s="14"/>
      <c r="R313" s="14"/>
      <c r="S313" s="14"/>
      <c r="T313" s="14"/>
      <c r="U313" s="14"/>
      <c r="V313" s="14"/>
      <c r="W313" s="14"/>
      <c r="X313" s="14"/>
      <c r="Y313" s="13"/>
      <c r="Z313" s="44"/>
      <c r="AA313" s="43"/>
      <c r="AB313" s="13"/>
      <c r="AC313" s="13"/>
      <c r="AD313" s="13"/>
      <c r="AE313" s="13"/>
      <c r="AF313" s="13"/>
      <c r="AG313" s="13"/>
      <c r="AH313" s="13"/>
      <c r="AI313" s="13"/>
      <c r="AJ313" s="13"/>
      <c r="AK313" s="44"/>
    </row>
    <row r="314" spans="1:38" ht="12.75" customHeight="1">
      <c r="A314" s="41">
        <v>179</v>
      </c>
      <c r="B314" s="10">
        <v>1059</v>
      </c>
      <c r="C314" s="10" t="s">
        <v>947</v>
      </c>
      <c r="D314" s="16">
        <v>817.88</v>
      </c>
      <c r="E314" s="20" t="s">
        <v>948</v>
      </c>
      <c r="F314" s="20" t="s">
        <v>949</v>
      </c>
      <c r="G314" s="12">
        <v>41</v>
      </c>
      <c r="H314" s="12">
        <v>240</v>
      </c>
      <c r="I314" s="16">
        <f>ROUND(G314,0)</f>
        <v>41</v>
      </c>
      <c r="J314" s="16">
        <f>ROUND(H314,0)</f>
        <v>240</v>
      </c>
      <c r="K314" s="18" t="str">
        <f>IF(I314=J314,"TAM",(CONCATENATE(G314,"/",H314)))</f>
        <v>41/240</v>
      </c>
      <c r="L314" s="29">
        <f>817.88*41/240</f>
        <v>139.72116666666668</v>
      </c>
      <c r="M314" s="30">
        <v>0</v>
      </c>
      <c r="N314" s="16" t="str">
        <f>IF(M314=0,"0",(O314*M314))</f>
        <v>0</v>
      </c>
      <c r="O314" s="16">
        <f>IF(W314=1,L314,((D314*G314/H314)-P314)/(1-V314)-S314-T314)</f>
        <v>139.72116666666668</v>
      </c>
      <c r="P314" s="16">
        <v>0</v>
      </c>
      <c r="Q314" s="16">
        <f>IF(U314=0,"0",O314*U314)</f>
        <v>46.77200030365151</v>
      </c>
      <c r="R314" s="17">
        <f>IF(U314=0,(((D314*G314/H314)-P314-S314-T314)/(1-V314)),(((D314*G314/H314)-P314-S314-T314)/(1-V314))-((D314*G314/H314)-P314-S314-T314)*U314/(1-V314))</f>
        <v>92.94916636301517</v>
      </c>
      <c r="S314" s="12">
        <v>0</v>
      </c>
      <c r="T314" s="12">
        <v>0</v>
      </c>
      <c r="U314" s="12">
        <v>0.334752431714485</v>
      </c>
      <c r="V314" s="12">
        <v>0</v>
      </c>
      <c r="W314" s="28">
        <f>IF(V314&gt;U314,1,V314)</f>
        <v>0</v>
      </c>
      <c r="X314" s="12">
        <v>1</v>
      </c>
      <c r="Y314" s="16">
        <v>0</v>
      </c>
      <c r="Z314" s="42" t="str">
        <f>IF(OR(W314=1,W314=0),"0",(Q314-N314))</f>
        <v>0</v>
      </c>
      <c r="AA314" s="53" t="s">
        <v>950</v>
      </c>
      <c r="AB314" s="16" t="s">
        <v>952</v>
      </c>
      <c r="AC314" s="16">
        <v>26.91</v>
      </c>
      <c r="AD314" s="16">
        <v>350.52</v>
      </c>
      <c r="AE314" s="16">
        <f>ROUND(AC314*100,0)</f>
        <v>2691</v>
      </c>
      <c r="AF314" s="16">
        <f>ROUND(AD314*100,0)</f>
        <v>35052</v>
      </c>
      <c r="AG314" s="19" t="str">
        <f>IF(AC314=AD314,"TAM",(CONCATENATE(AE314,"/",AF314)))</f>
        <v>2691/35052</v>
      </c>
      <c r="AH314" s="11" t="s">
        <v>50</v>
      </c>
      <c r="AI314" s="21" t="s">
        <v>50</v>
      </c>
      <c r="AJ314" s="21" t="s">
        <v>951</v>
      </c>
      <c r="AK314" s="54" t="s">
        <v>50</v>
      </c>
      <c r="AL314" s="1" t="s">
        <v>50</v>
      </c>
    </row>
    <row r="315" spans="1:37" ht="12.75" customHeight="1">
      <c r="A315" s="43"/>
      <c r="B315" s="13"/>
      <c r="C315" s="13"/>
      <c r="D315" s="31"/>
      <c r="E315" s="14" t="s">
        <v>50</v>
      </c>
      <c r="F315" s="14"/>
      <c r="G315" s="14"/>
      <c r="H315" s="14"/>
      <c r="I315" s="31"/>
      <c r="J315" s="31"/>
      <c r="K315" s="15"/>
      <c r="L315" s="15"/>
      <c r="M315" s="15"/>
      <c r="N315" s="15"/>
      <c r="O315" s="15"/>
      <c r="P315" s="14"/>
      <c r="Q315" s="14"/>
      <c r="R315" s="14"/>
      <c r="S315" s="14"/>
      <c r="T315" s="14"/>
      <c r="U315" s="14"/>
      <c r="V315" s="14"/>
      <c r="W315" s="14"/>
      <c r="X315" s="14"/>
      <c r="Y315" s="13"/>
      <c r="Z315" s="44"/>
      <c r="AA315" s="43"/>
      <c r="AB315" s="13"/>
      <c r="AC315" s="13"/>
      <c r="AD315" s="13"/>
      <c r="AE315" s="13"/>
      <c r="AF315" s="13"/>
      <c r="AG315" s="13"/>
      <c r="AH315" s="13"/>
      <c r="AI315" s="13"/>
      <c r="AJ315" s="13"/>
      <c r="AK315" s="44"/>
    </row>
    <row r="316" spans="1:38" ht="12.75" customHeight="1">
      <c r="A316" s="41">
        <v>180</v>
      </c>
      <c r="B316" s="10">
        <v>1059</v>
      </c>
      <c r="C316" s="10" t="s">
        <v>953</v>
      </c>
      <c r="D316" s="16">
        <v>817.88</v>
      </c>
      <c r="E316" s="20" t="s">
        <v>954</v>
      </c>
      <c r="F316" s="20" t="s">
        <v>955</v>
      </c>
      <c r="G316" s="12">
        <v>41</v>
      </c>
      <c r="H316" s="12">
        <v>240</v>
      </c>
      <c r="I316" s="16">
        <f>ROUND(G316,0)</f>
        <v>41</v>
      </c>
      <c r="J316" s="16">
        <f>ROUND(H316,0)</f>
        <v>240</v>
      </c>
      <c r="K316" s="18" t="str">
        <f>IF(I316=J316,"TAM",(CONCATENATE(G316,"/",H316)))</f>
        <v>41/240</v>
      </c>
      <c r="L316" s="29">
        <f>817.88*41/240</f>
        <v>139.72116666666668</v>
      </c>
      <c r="M316" s="30">
        <v>0</v>
      </c>
      <c r="N316" s="16" t="str">
        <f>IF(M316=0,"0",(O316*M316))</f>
        <v>0</v>
      </c>
      <c r="O316" s="16">
        <f>IF(W316=1,L316,((D316*G316/H316)-P316)/(1-V316)-S316-T316)</f>
        <v>139.72116666666668</v>
      </c>
      <c r="P316" s="16">
        <v>0</v>
      </c>
      <c r="Q316" s="16">
        <f>IF(U316=0,"0",O316*U316)</f>
        <v>46.77200030365151</v>
      </c>
      <c r="R316" s="17">
        <f>IF(U316=0,(((D316*G316/H316)-P316-S316-T316)/(1-V316)),(((D316*G316/H316)-P316-S316-T316)/(1-V316))-((D316*G316/H316)-P316-S316-T316)*U316/(1-V316))</f>
        <v>92.94916636301517</v>
      </c>
      <c r="S316" s="12">
        <v>0</v>
      </c>
      <c r="T316" s="12">
        <v>0</v>
      </c>
      <c r="U316" s="12">
        <v>0.334752431714485</v>
      </c>
      <c r="V316" s="12">
        <v>0</v>
      </c>
      <c r="W316" s="28">
        <f>IF(V316&gt;U316,1,V316)</f>
        <v>0</v>
      </c>
      <c r="X316" s="12">
        <v>1</v>
      </c>
      <c r="Y316" s="16">
        <v>0</v>
      </c>
      <c r="Z316" s="42" t="str">
        <f>IF(OR(W316=1,W316=0),"0",(Q316-N316))</f>
        <v>0</v>
      </c>
      <c r="AA316" s="53" t="s">
        <v>956</v>
      </c>
      <c r="AB316" s="16" t="s">
        <v>958</v>
      </c>
      <c r="AC316" s="16">
        <v>26.91</v>
      </c>
      <c r="AD316" s="16">
        <v>350.52</v>
      </c>
      <c r="AE316" s="16">
        <f>ROUND(AC316*100,0)</f>
        <v>2691</v>
      </c>
      <c r="AF316" s="16">
        <f>ROUND(AD316*100,0)</f>
        <v>35052</v>
      </c>
      <c r="AG316" s="19" t="str">
        <f>IF(AC316=AD316,"TAM",(CONCATENATE(AE316,"/",AF316)))</f>
        <v>2691/35052</v>
      </c>
      <c r="AH316" s="11" t="s">
        <v>50</v>
      </c>
      <c r="AI316" s="21" t="s">
        <v>50</v>
      </c>
      <c r="AJ316" s="21" t="s">
        <v>957</v>
      </c>
      <c r="AK316" s="54" t="s">
        <v>50</v>
      </c>
      <c r="AL316" s="1" t="s">
        <v>50</v>
      </c>
    </row>
    <row r="317" spans="1:37" ht="12.75" customHeight="1">
      <c r="A317" s="43"/>
      <c r="B317" s="13"/>
      <c r="C317" s="13"/>
      <c r="D317" s="31"/>
      <c r="E317" s="14" t="s">
        <v>50</v>
      </c>
      <c r="F317" s="14"/>
      <c r="G317" s="14"/>
      <c r="H317" s="14"/>
      <c r="I317" s="31"/>
      <c r="J317" s="31"/>
      <c r="K317" s="15"/>
      <c r="L317" s="15"/>
      <c r="M317" s="15"/>
      <c r="N317" s="15"/>
      <c r="O317" s="15"/>
      <c r="P317" s="14"/>
      <c r="Q317" s="14"/>
      <c r="R317" s="14"/>
      <c r="S317" s="14"/>
      <c r="T317" s="14"/>
      <c r="U317" s="14"/>
      <c r="V317" s="14"/>
      <c r="W317" s="14"/>
      <c r="X317" s="14"/>
      <c r="Y317" s="13"/>
      <c r="Z317" s="44"/>
      <c r="AA317" s="43"/>
      <c r="AB317" s="13"/>
      <c r="AC317" s="13"/>
      <c r="AD317" s="13"/>
      <c r="AE317" s="13"/>
      <c r="AF317" s="13"/>
      <c r="AG317" s="13"/>
      <c r="AH317" s="13"/>
      <c r="AI317" s="13"/>
      <c r="AJ317" s="13"/>
      <c r="AK317" s="44"/>
    </row>
    <row r="318" spans="1:38" ht="12.75" customHeight="1">
      <c r="A318" s="41">
        <v>183</v>
      </c>
      <c r="B318" s="10">
        <v>1059</v>
      </c>
      <c r="C318" s="10" t="s">
        <v>959</v>
      </c>
      <c r="D318" s="16">
        <v>817.88</v>
      </c>
      <c r="E318" s="20" t="s">
        <v>960</v>
      </c>
      <c r="F318" s="20" t="s">
        <v>961</v>
      </c>
      <c r="G318" s="12">
        <v>41</v>
      </c>
      <c r="H318" s="12">
        <v>240</v>
      </c>
      <c r="I318" s="16">
        <f>ROUND(G318,0)</f>
        <v>41</v>
      </c>
      <c r="J318" s="16">
        <f>ROUND(H318,0)</f>
        <v>240</v>
      </c>
      <c r="K318" s="18" t="str">
        <f>IF(I318=J318,"TAM",(CONCATENATE(G318,"/",H318)))</f>
        <v>41/240</v>
      </c>
      <c r="L318" s="29">
        <f>817.88*41/240</f>
        <v>139.72116666666668</v>
      </c>
      <c r="M318" s="30">
        <v>0</v>
      </c>
      <c r="N318" s="16" t="str">
        <f>IF(M318=0,"0",(O318*M318))</f>
        <v>0</v>
      </c>
      <c r="O318" s="16">
        <f>IF(W318=1,L318,((D318*G318/H318)-P318)/(1-V318)-S318-T318)</f>
        <v>139.72116666666668</v>
      </c>
      <c r="P318" s="16">
        <v>0</v>
      </c>
      <c r="Q318" s="16">
        <f>IF(U318=0,"0",O318*U318)</f>
        <v>46.77200030365151</v>
      </c>
      <c r="R318" s="17">
        <f>IF(U318=0,(((D318*G318/H318)-P318-S318-T318)/(1-V318)),(((D318*G318/H318)-P318-S318-T318)/(1-V318))-((D318*G318/H318)-P318-S318-T318)*U318/(1-V318))</f>
        <v>92.94916636301517</v>
      </c>
      <c r="S318" s="12">
        <v>0</v>
      </c>
      <c r="T318" s="12">
        <v>0</v>
      </c>
      <c r="U318" s="12">
        <v>0.334752431714485</v>
      </c>
      <c r="V318" s="12">
        <v>0</v>
      </c>
      <c r="W318" s="28">
        <f>IF(V318&gt;U318,1,V318)</f>
        <v>0</v>
      </c>
      <c r="X318" s="12">
        <v>1</v>
      </c>
      <c r="Y318" s="16">
        <v>0</v>
      </c>
      <c r="Z318" s="42" t="str">
        <f>IF(OR(W318=1,W318=0),"0",(Q318-N318))</f>
        <v>0</v>
      </c>
      <c r="AA318" s="53" t="s">
        <v>962</v>
      </c>
      <c r="AB318" s="16" t="s">
        <v>964</v>
      </c>
      <c r="AC318" s="16">
        <v>26.92</v>
      </c>
      <c r="AD318" s="16">
        <v>350.52</v>
      </c>
      <c r="AE318" s="16">
        <f>ROUND(AC318*100,0)</f>
        <v>2692</v>
      </c>
      <c r="AF318" s="16">
        <f>ROUND(AD318*100,0)</f>
        <v>35052</v>
      </c>
      <c r="AG318" s="19" t="str">
        <f>IF(AC318=AD318,"TAM",(CONCATENATE(AE318,"/",AF318)))</f>
        <v>2692/35052</v>
      </c>
      <c r="AH318" s="11" t="s">
        <v>50</v>
      </c>
      <c r="AI318" s="21" t="s">
        <v>50</v>
      </c>
      <c r="AJ318" s="21" t="s">
        <v>963</v>
      </c>
      <c r="AK318" s="54" t="s">
        <v>50</v>
      </c>
      <c r="AL318" s="1" t="s">
        <v>50</v>
      </c>
    </row>
    <row r="319" spans="1:37" ht="12.75" customHeight="1">
      <c r="A319" s="43"/>
      <c r="B319" s="13"/>
      <c r="C319" s="13"/>
      <c r="D319" s="31"/>
      <c r="E319" s="14" t="s">
        <v>50</v>
      </c>
      <c r="F319" s="14"/>
      <c r="G319" s="14"/>
      <c r="H319" s="14"/>
      <c r="I319" s="31"/>
      <c r="J319" s="31"/>
      <c r="K319" s="15"/>
      <c r="L319" s="15"/>
      <c r="M319" s="15"/>
      <c r="N319" s="15"/>
      <c r="O319" s="15"/>
      <c r="P319" s="14"/>
      <c r="Q319" s="14"/>
      <c r="R319" s="14"/>
      <c r="S319" s="14"/>
      <c r="T319" s="14"/>
      <c r="U319" s="14"/>
      <c r="V319" s="14"/>
      <c r="W319" s="14"/>
      <c r="X319" s="14"/>
      <c r="Y319" s="13"/>
      <c r="Z319" s="44"/>
      <c r="AA319" s="43"/>
      <c r="AB319" s="13"/>
      <c r="AC319" s="13"/>
      <c r="AD319" s="13"/>
      <c r="AE319" s="13"/>
      <c r="AF319" s="13"/>
      <c r="AG319" s="13"/>
      <c r="AH319" s="13"/>
      <c r="AI319" s="13"/>
      <c r="AJ319" s="13"/>
      <c r="AK319" s="44"/>
    </row>
    <row r="320" spans="1:38" ht="12.75" customHeight="1">
      <c r="A320" s="41">
        <v>181</v>
      </c>
      <c r="B320" s="10">
        <v>1059</v>
      </c>
      <c r="C320" s="10" t="s">
        <v>965</v>
      </c>
      <c r="D320" s="16">
        <v>817.88</v>
      </c>
      <c r="E320" s="20" t="s">
        <v>966</v>
      </c>
      <c r="F320" s="20" t="s">
        <v>967</v>
      </c>
      <c r="G320" s="12">
        <v>41</v>
      </c>
      <c r="H320" s="12">
        <v>240</v>
      </c>
      <c r="I320" s="16">
        <f>ROUND(G320,0)</f>
        <v>41</v>
      </c>
      <c r="J320" s="16">
        <f>ROUND(H320,0)</f>
        <v>240</v>
      </c>
      <c r="K320" s="18" t="str">
        <f>IF(I320=J320,"TAM",(CONCATENATE(G320,"/",H320)))</f>
        <v>41/240</v>
      </c>
      <c r="L320" s="29">
        <f>817.88*41/240</f>
        <v>139.72116666666668</v>
      </c>
      <c r="M320" s="30">
        <v>0</v>
      </c>
      <c r="N320" s="16" t="str">
        <f>IF(M320=0,"0",(O320*M320))</f>
        <v>0</v>
      </c>
      <c r="O320" s="16">
        <f>IF(W320=1,L320,((D320*G320/H320)-P320)/(1-V320)-S320-T320)</f>
        <v>139.72116666666668</v>
      </c>
      <c r="P320" s="16">
        <v>0</v>
      </c>
      <c r="Q320" s="16">
        <f>IF(U320=0,"0",O320*U320)</f>
        <v>46.77200030365151</v>
      </c>
      <c r="R320" s="17">
        <f>IF(U320=0,(((D320*G320/H320)-P320-S320-T320)/(1-V320)),(((D320*G320/H320)-P320-S320-T320)/(1-V320))-((D320*G320/H320)-P320-S320-T320)*U320/(1-V320))</f>
        <v>92.94916636301517</v>
      </c>
      <c r="S320" s="12">
        <v>0</v>
      </c>
      <c r="T320" s="12">
        <v>0</v>
      </c>
      <c r="U320" s="12">
        <v>0.334752431714485</v>
      </c>
      <c r="V320" s="12">
        <v>0</v>
      </c>
      <c r="W320" s="28">
        <f>IF(V320&gt;U320,1,V320)</f>
        <v>0</v>
      </c>
      <c r="X320" s="12">
        <v>1</v>
      </c>
      <c r="Y320" s="16">
        <v>0</v>
      </c>
      <c r="Z320" s="42" t="str">
        <f>IF(OR(W320=1,W320=0),"0",(Q320-N320))</f>
        <v>0</v>
      </c>
      <c r="AA320" s="53" t="s">
        <v>968</v>
      </c>
      <c r="AB320" s="16" t="s">
        <v>970</v>
      </c>
      <c r="AC320" s="16">
        <v>26.91</v>
      </c>
      <c r="AD320" s="16">
        <v>350.52</v>
      </c>
      <c r="AE320" s="16">
        <f>ROUND(AC320*100,0)</f>
        <v>2691</v>
      </c>
      <c r="AF320" s="16">
        <f>ROUND(AD320*100,0)</f>
        <v>35052</v>
      </c>
      <c r="AG320" s="19" t="str">
        <f>IF(AC320=AD320,"TAM",(CONCATENATE(AE320,"/",AF320)))</f>
        <v>2691/35052</v>
      </c>
      <c r="AH320" s="11" t="s">
        <v>50</v>
      </c>
      <c r="AI320" s="21" t="s">
        <v>50</v>
      </c>
      <c r="AJ320" s="21" t="s">
        <v>969</v>
      </c>
      <c r="AK320" s="54" t="s">
        <v>50</v>
      </c>
      <c r="AL320" s="1" t="s">
        <v>50</v>
      </c>
    </row>
    <row r="321" spans="1:37" ht="12.75" customHeight="1">
      <c r="A321" s="43"/>
      <c r="B321" s="13"/>
      <c r="C321" s="13"/>
      <c r="D321" s="31"/>
      <c r="E321" s="14" t="s">
        <v>50</v>
      </c>
      <c r="F321" s="14"/>
      <c r="G321" s="14"/>
      <c r="H321" s="14"/>
      <c r="I321" s="31"/>
      <c r="J321" s="31"/>
      <c r="K321" s="15"/>
      <c r="L321" s="15"/>
      <c r="M321" s="15"/>
      <c r="N321" s="15"/>
      <c r="O321" s="15"/>
      <c r="P321" s="14"/>
      <c r="Q321" s="14"/>
      <c r="R321" s="14"/>
      <c r="S321" s="14"/>
      <c r="T321" s="14"/>
      <c r="U321" s="14"/>
      <c r="V321" s="14"/>
      <c r="W321" s="14"/>
      <c r="X321" s="14"/>
      <c r="Y321" s="13"/>
      <c r="Z321" s="44"/>
      <c r="AA321" s="43"/>
      <c r="AB321" s="13"/>
      <c r="AC321" s="13"/>
      <c r="AD321" s="13"/>
      <c r="AE321" s="13"/>
      <c r="AF321" s="13"/>
      <c r="AG321" s="13"/>
      <c r="AH321" s="13"/>
      <c r="AI321" s="13"/>
      <c r="AJ321" s="13"/>
      <c r="AK321" s="44"/>
    </row>
    <row r="322" spans="1:38" ht="12.75" customHeight="1">
      <c r="A322" s="41">
        <v>182</v>
      </c>
      <c r="B322" s="10">
        <v>1059</v>
      </c>
      <c r="C322" s="10" t="s">
        <v>971</v>
      </c>
      <c r="D322" s="16">
        <v>817.88</v>
      </c>
      <c r="E322" s="20" t="s">
        <v>972</v>
      </c>
      <c r="F322" s="20" t="s">
        <v>973</v>
      </c>
      <c r="G322" s="12">
        <v>41</v>
      </c>
      <c r="H322" s="12">
        <v>240</v>
      </c>
      <c r="I322" s="16">
        <f>ROUND(G322,0)</f>
        <v>41</v>
      </c>
      <c r="J322" s="16">
        <f>ROUND(H322,0)</f>
        <v>240</v>
      </c>
      <c r="K322" s="18" t="str">
        <f>IF(I322=J322,"TAM",(CONCATENATE(G322,"/",H322)))</f>
        <v>41/240</v>
      </c>
      <c r="L322" s="29">
        <f>817.88*41/240</f>
        <v>139.72116666666668</v>
      </c>
      <c r="M322" s="30">
        <v>0</v>
      </c>
      <c r="N322" s="16" t="str">
        <f>IF(M322=0,"0",(O322*M322))</f>
        <v>0</v>
      </c>
      <c r="O322" s="16">
        <f>IF(W322=1,L322,((D322*G322/H322)-P322)/(1-V322)-S322-T322)</f>
        <v>139.72116666666668</v>
      </c>
      <c r="P322" s="16">
        <v>0</v>
      </c>
      <c r="Q322" s="16">
        <f>IF(U322=0,"0",O322*U322)</f>
        <v>46.77200030365151</v>
      </c>
      <c r="R322" s="17">
        <f>IF(U322=0,(((D322*G322/H322)-P322-S322-T322)/(1-V322)),(((D322*G322/H322)-P322-S322-T322)/(1-V322))-((D322*G322/H322)-P322-S322-T322)*U322/(1-V322))</f>
        <v>92.94916636301517</v>
      </c>
      <c r="S322" s="12">
        <v>0</v>
      </c>
      <c r="T322" s="12">
        <v>0</v>
      </c>
      <c r="U322" s="12">
        <v>0.334752431714485</v>
      </c>
      <c r="V322" s="12">
        <v>0</v>
      </c>
      <c r="W322" s="28">
        <f>IF(V322&gt;U322,1,V322)</f>
        <v>0</v>
      </c>
      <c r="X322" s="12">
        <v>1</v>
      </c>
      <c r="Y322" s="16">
        <v>0</v>
      </c>
      <c r="Z322" s="42" t="str">
        <f>IF(OR(W322=1,W322=0),"0",(Q322-N322))</f>
        <v>0</v>
      </c>
      <c r="AA322" s="53" t="s">
        <v>974</v>
      </c>
      <c r="AB322" s="16" t="s">
        <v>976</v>
      </c>
      <c r="AC322" s="16">
        <v>26.92</v>
      </c>
      <c r="AD322" s="16">
        <v>350.52</v>
      </c>
      <c r="AE322" s="16">
        <f>ROUND(AC322*100,0)</f>
        <v>2692</v>
      </c>
      <c r="AF322" s="16">
        <f>ROUND(AD322*100,0)</f>
        <v>35052</v>
      </c>
      <c r="AG322" s="19" t="str">
        <f>IF(AC322=AD322,"TAM",(CONCATENATE(AE322,"/",AF322)))</f>
        <v>2692/35052</v>
      </c>
      <c r="AH322" s="11" t="s">
        <v>50</v>
      </c>
      <c r="AI322" s="21" t="s">
        <v>50</v>
      </c>
      <c r="AJ322" s="21" t="s">
        <v>975</v>
      </c>
      <c r="AK322" s="54" t="s">
        <v>50</v>
      </c>
      <c r="AL322" s="1" t="s">
        <v>50</v>
      </c>
    </row>
    <row r="323" spans="1:37" ht="12.75" customHeight="1">
      <c r="A323" s="43"/>
      <c r="B323" s="13"/>
      <c r="C323" s="13"/>
      <c r="D323" s="31"/>
      <c r="E323" s="14" t="s">
        <v>50</v>
      </c>
      <c r="F323" s="14"/>
      <c r="G323" s="14"/>
      <c r="H323" s="14"/>
      <c r="I323" s="31"/>
      <c r="J323" s="31"/>
      <c r="K323" s="15"/>
      <c r="L323" s="15"/>
      <c r="M323" s="15"/>
      <c r="N323" s="15"/>
      <c r="O323" s="15"/>
      <c r="P323" s="14"/>
      <c r="Q323" s="14"/>
      <c r="R323" s="14"/>
      <c r="S323" s="14"/>
      <c r="T323" s="14"/>
      <c r="U323" s="14"/>
      <c r="V323" s="14"/>
      <c r="W323" s="14"/>
      <c r="X323" s="14"/>
      <c r="Y323" s="13"/>
      <c r="Z323" s="44"/>
      <c r="AA323" s="43"/>
      <c r="AB323" s="13"/>
      <c r="AC323" s="13"/>
      <c r="AD323" s="13"/>
      <c r="AE323" s="13"/>
      <c r="AF323" s="13"/>
      <c r="AG323" s="13"/>
      <c r="AH323" s="13"/>
      <c r="AI323" s="13"/>
      <c r="AJ323" s="13"/>
      <c r="AK323" s="44"/>
    </row>
    <row r="324" spans="1:38" ht="12.75" customHeight="1">
      <c r="A324" s="41">
        <v>319</v>
      </c>
      <c r="B324" s="10">
        <v>1105</v>
      </c>
      <c r="C324" s="10" t="s">
        <v>977</v>
      </c>
      <c r="D324" s="16">
        <v>290.07</v>
      </c>
      <c r="E324" s="20" t="s">
        <v>978</v>
      </c>
      <c r="F324" s="20" t="s">
        <v>979</v>
      </c>
      <c r="G324" s="12">
        <v>1</v>
      </c>
      <c r="H324" s="12">
        <v>5</v>
      </c>
      <c r="I324" s="16">
        <f>ROUND(G324,0)</f>
        <v>1</v>
      </c>
      <c r="J324" s="16">
        <f>ROUND(H324,0)</f>
        <v>5</v>
      </c>
      <c r="K324" s="18" t="str">
        <f>IF(I324=J324,"TAM",(CONCATENATE(G324,"/",H324)))</f>
        <v>1/5</v>
      </c>
      <c r="L324" s="29">
        <f>290.07*1/5</f>
        <v>58.014</v>
      </c>
      <c r="M324" s="30">
        <v>0</v>
      </c>
      <c r="N324" s="16" t="str">
        <f>IF(M324=0,"0",(O324*M324))</f>
        <v>0</v>
      </c>
      <c r="O324" s="16">
        <f>IF(W324=1,L324,((D324*G324/H324)-P324)/(1-V324)-S324-T324)</f>
        <v>58.013999999999996</v>
      </c>
      <c r="P324" s="16">
        <v>0</v>
      </c>
      <c r="Q324" s="16">
        <f>IF(U324=0,"0",O324*U324)</f>
        <v>19.42032757348413</v>
      </c>
      <c r="R324" s="17">
        <f>IF(U324=0,(((D324*G324/H324)-P324-S324-T324)/(1-V324)),(((D324*G324/H324)-P324-S324-T324)/(1-V324))-((D324*G324/H324)-P324-S324-T324)*U324/(1-V324))</f>
        <v>38.593672426515866</v>
      </c>
      <c r="S324" s="12">
        <v>0</v>
      </c>
      <c r="T324" s="12">
        <v>0</v>
      </c>
      <c r="U324" s="12">
        <v>0.334752431714485</v>
      </c>
      <c r="V324" s="12">
        <v>0</v>
      </c>
      <c r="W324" s="28">
        <f>IF(V324&gt;U324,1,V324)</f>
        <v>0</v>
      </c>
      <c r="X324" s="12">
        <v>1</v>
      </c>
      <c r="Y324" s="16">
        <v>0</v>
      </c>
      <c r="Z324" s="42" t="str">
        <f>IF(OR(W324=1,W324=0),"0",(Q324-N324))</f>
        <v>0</v>
      </c>
      <c r="AA324" s="53" t="s">
        <v>980</v>
      </c>
      <c r="AB324" s="16" t="s">
        <v>982</v>
      </c>
      <c r="AC324" s="16">
        <v>38.59</v>
      </c>
      <c r="AD324" s="16">
        <v>350.52</v>
      </c>
      <c r="AE324" s="16">
        <f>ROUND(AC324*100,0)</f>
        <v>3859</v>
      </c>
      <c r="AF324" s="16">
        <f>ROUND(AD324*100,0)</f>
        <v>35052</v>
      </c>
      <c r="AG324" s="19" t="str">
        <f>IF(AC324=AD324,"TAM",(CONCATENATE(AE324,"/",AF324)))</f>
        <v>3859/35052</v>
      </c>
      <c r="AH324" s="11" t="s">
        <v>50</v>
      </c>
      <c r="AI324" s="21" t="s">
        <v>50</v>
      </c>
      <c r="AJ324" s="21" t="s">
        <v>981</v>
      </c>
      <c r="AK324" s="54" t="s">
        <v>50</v>
      </c>
      <c r="AL324" s="1" t="s">
        <v>50</v>
      </c>
    </row>
    <row r="325" spans="1:37" ht="12.75" customHeight="1">
      <c r="A325" s="43"/>
      <c r="B325" s="13"/>
      <c r="C325" s="13"/>
      <c r="D325" s="31"/>
      <c r="E325" s="14" t="s">
        <v>50</v>
      </c>
      <c r="F325" s="14"/>
      <c r="G325" s="14"/>
      <c r="H325" s="14"/>
      <c r="I325" s="31"/>
      <c r="J325" s="31"/>
      <c r="K325" s="15"/>
      <c r="L325" s="15"/>
      <c r="M325" s="15"/>
      <c r="N325" s="15"/>
      <c r="O325" s="15"/>
      <c r="P325" s="14"/>
      <c r="Q325" s="14"/>
      <c r="R325" s="14"/>
      <c r="S325" s="14"/>
      <c r="T325" s="14"/>
      <c r="U325" s="14"/>
      <c r="V325" s="14"/>
      <c r="W325" s="14"/>
      <c r="X325" s="14"/>
      <c r="Y325" s="13"/>
      <c r="Z325" s="44"/>
      <c r="AA325" s="43"/>
      <c r="AB325" s="13"/>
      <c r="AC325" s="13"/>
      <c r="AD325" s="13"/>
      <c r="AE325" s="13"/>
      <c r="AF325" s="13"/>
      <c r="AG325" s="13"/>
      <c r="AH325" s="13"/>
      <c r="AI325" s="13"/>
      <c r="AJ325" s="13"/>
      <c r="AK325" s="44"/>
    </row>
    <row r="326" spans="1:38" ht="12.75" customHeight="1">
      <c r="A326" s="41">
        <v>320</v>
      </c>
      <c r="B326" s="10">
        <v>1105</v>
      </c>
      <c r="C326" s="10" t="s">
        <v>983</v>
      </c>
      <c r="D326" s="16">
        <v>290.07</v>
      </c>
      <c r="E326" s="20" t="s">
        <v>984</v>
      </c>
      <c r="F326" s="20" t="s">
        <v>985</v>
      </c>
      <c r="G326" s="12">
        <v>1</v>
      </c>
      <c r="H326" s="12">
        <v>5</v>
      </c>
      <c r="I326" s="16">
        <f>ROUND(G326,0)</f>
        <v>1</v>
      </c>
      <c r="J326" s="16">
        <f>ROUND(H326,0)</f>
        <v>5</v>
      </c>
      <c r="K326" s="18" t="str">
        <f>IF(I326=J326,"TAM",(CONCATENATE(G326,"/",H326)))</f>
        <v>1/5</v>
      </c>
      <c r="L326" s="29">
        <f>290.07*1/5</f>
        <v>58.014</v>
      </c>
      <c r="M326" s="30">
        <v>0</v>
      </c>
      <c r="N326" s="16" t="str">
        <f>IF(M326=0,"0",(O326*M326))</f>
        <v>0</v>
      </c>
      <c r="O326" s="16">
        <f>IF(W326=1,L326,((D326*G326/H326)-P326)/(1-V326)-S326-T326)</f>
        <v>58.013999999999996</v>
      </c>
      <c r="P326" s="16">
        <v>0</v>
      </c>
      <c r="Q326" s="16">
        <f>IF(U326=0,"0",O326*U326)</f>
        <v>19.42032757348413</v>
      </c>
      <c r="R326" s="17">
        <f>IF(U326=0,(((D326*G326/H326)-P326-S326-T326)/(1-V326)),(((D326*G326/H326)-P326-S326-T326)/(1-V326))-((D326*G326/H326)-P326-S326-T326)*U326/(1-V326))</f>
        <v>38.593672426515866</v>
      </c>
      <c r="S326" s="12">
        <v>0</v>
      </c>
      <c r="T326" s="12">
        <v>0</v>
      </c>
      <c r="U326" s="12">
        <v>0.334752431714485</v>
      </c>
      <c r="V326" s="12">
        <v>0</v>
      </c>
      <c r="W326" s="28">
        <f>IF(V326&gt;U326,1,V326)</f>
        <v>0</v>
      </c>
      <c r="X326" s="12">
        <v>1</v>
      </c>
      <c r="Y326" s="16">
        <v>0</v>
      </c>
      <c r="Z326" s="42" t="str">
        <f>IF(OR(W326=1,W326=0),"0",(Q326-N326))</f>
        <v>0</v>
      </c>
      <c r="AA326" s="53" t="s">
        <v>986</v>
      </c>
      <c r="AB326" s="16" t="s">
        <v>988</v>
      </c>
      <c r="AC326" s="16">
        <v>38.59</v>
      </c>
      <c r="AD326" s="16">
        <v>350.52</v>
      </c>
      <c r="AE326" s="16">
        <f>ROUND(AC326*100,0)</f>
        <v>3859</v>
      </c>
      <c r="AF326" s="16">
        <f>ROUND(AD326*100,0)</f>
        <v>35052</v>
      </c>
      <c r="AG326" s="19" t="str">
        <f>IF(AC326=AD326,"TAM",(CONCATENATE(AE326,"/",AF326)))</f>
        <v>3859/35052</v>
      </c>
      <c r="AH326" s="11" t="s">
        <v>50</v>
      </c>
      <c r="AI326" s="21" t="s">
        <v>50</v>
      </c>
      <c r="AJ326" s="21" t="s">
        <v>987</v>
      </c>
      <c r="AK326" s="54" t="s">
        <v>50</v>
      </c>
      <c r="AL326" s="1" t="s">
        <v>50</v>
      </c>
    </row>
    <row r="327" spans="1:37" ht="12.75" customHeight="1">
      <c r="A327" s="43"/>
      <c r="B327" s="13"/>
      <c r="C327" s="13"/>
      <c r="D327" s="31"/>
      <c r="E327" s="14" t="s">
        <v>50</v>
      </c>
      <c r="F327" s="14"/>
      <c r="G327" s="14"/>
      <c r="H327" s="14"/>
      <c r="I327" s="31"/>
      <c r="J327" s="31"/>
      <c r="K327" s="15"/>
      <c r="L327" s="15"/>
      <c r="M327" s="15"/>
      <c r="N327" s="15"/>
      <c r="O327" s="15"/>
      <c r="P327" s="14"/>
      <c r="Q327" s="14"/>
      <c r="R327" s="14"/>
      <c r="S327" s="14"/>
      <c r="T327" s="14"/>
      <c r="U327" s="14"/>
      <c r="V327" s="14"/>
      <c r="W327" s="14"/>
      <c r="X327" s="14"/>
      <c r="Y327" s="13"/>
      <c r="Z327" s="44"/>
      <c r="AA327" s="43"/>
      <c r="AB327" s="13"/>
      <c r="AC327" s="13"/>
      <c r="AD327" s="13"/>
      <c r="AE327" s="13"/>
      <c r="AF327" s="13"/>
      <c r="AG327" s="13"/>
      <c r="AH327" s="13"/>
      <c r="AI327" s="13"/>
      <c r="AJ327" s="13"/>
      <c r="AK327" s="44"/>
    </row>
    <row r="328" spans="1:38" ht="12.75" customHeight="1">
      <c r="A328" s="41">
        <v>323</v>
      </c>
      <c r="B328" s="10">
        <v>1105</v>
      </c>
      <c r="C328" s="10" t="s">
        <v>989</v>
      </c>
      <c r="D328" s="16">
        <v>290.07</v>
      </c>
      <c r="E328" s="20" t="s">
        <v>990</v>
      </c>
      <c r="F328" s="20" t="s">
        <v>991</v>
      </c>
      <c r="G328" s="12">
        <v>1</v>
      </c>
      <c r="H328" s="12">
        <v>5</v>
      </c>
      <c r="I328" s="16">
        <f>ROUND(G328,0)</f>
        <v>1</v>
      </c>
      <c r="J328" s="16">
        <f>ROUND(H328,0)</f>
        <v>5</v>
      </c>
      <c r="K328" s="18" t="str">
        <f>IF(I328=J328,"TAM",(CONCATENATE(G328,"/",H328)))</f>
        <v>1/5</v>
      </c>
      <c r="L328" s="29">
        <f>290.07*1/5</f>
        <v>58.014</v>
      </c>
      <c r="M328" s="30">
        <v>0</v>
      </c>
      <c r="N328" s="16" t="str">
        <f>IF(M328=0,"0",(O328*M328))</f>
        <v>0</v>
      </c>
      <c r="O328" s="16">
        <f>IF(W328=1,L328,((D328*G328/H328)-P328)/(1-V328)-S328-T328)</f>
        <v>58.013999999999996</v>
      </c>
      <c r="P328" s="16">
        <v>0</v>
      </c>
      <c r="Q328" s="16">
        <f>IF(U328=0,"0",O328*U328)</f>
        <v>19.42032757348413</v>
      </c>
      <c r="R328" s="17">
        <f>IF(U328=0,(((D328*G328/H328)-P328-S328-T328)/(1-V328)),(((D328*G328/H328)-P328-S328-T328)/(1-V328))-((D328*G328/H328)-P328-S328-T328)*U328/(1-V328))</f>
        <v>38.593672426515866</v>
      </c>
      <c r="S328" s="12">
        <v>0</v>
      </c>
      <c r="T328" s="12">
        <v>0</v>
      </c>
      <c r="U328" s="12">
        <v>0.334752431714485</v>
      </c>
      <c r="V328" s="12">
        <v>0</v>
      </c>
      <c r="W328" s="28">
        <f>IF(V328&gt;U328,1,V328)</f>
        <v>0</v>
      </c>
      <c r="X328" s="12">
        <v>1</v>
      </c>
      <c r="Y328" s="16">
        <v>0</v>
      </c>
      <c r="Z328" s="42" t="str">
        <f>IF(OR(W328=1,W328=0),"0",(Q328-N328))</f>
        <v>0</v>
      </c>
      <c r="AA328" s="53" t="s">
        <v>992</v>
      </c>
      <c r="AB328" s="16" t="s">
        <v>994</v>
      </c>
      <c r="AC328" s="16">
        <v>38.6</v>
      </c>
      <c r="AD328" s="16">
        <v>350.52</v>
      </c>
      <c r="AE328" s="16">
        <f>ROUND(AC328*100,0)</f>
        <v>3860</v>
      </c>
      <c r="AF328" s="16">
        <f>ROUND(AD328*100,0)</f>
        <v>35052</v>
      </c>
      <c r="AG328" s="19" t="str">
        <f>IF(AC328=AD328,"TAM",(CONCATENATE(AE328,"/",AF328)))</f>
        <v>3860/35052</v>
      </c>
      <c r="AH328" s="11" t="s">
        <v>50</v>
      </c>
      <c r="AI328" s="21" t="s">
        <v>50</v>
      </c>
      <c r="AJ328" s="21" t="s">
        <v>993</v>
      </c>
      <c r="AK328" s="54" t="s">
        <v>50</v>
      </c>
      <c r="AL328" s="1" t="s">
        <v>50</v>
      </c>
    </row>
    <row r="329" spans="1:37" ht="12.75" customHeight="1">
      <c r="A329" s="43"/>
      <c r="B329" s="13"/>
      <c r="C329" s="13"/>
      <c r="D329" s="31"/>
      <c r="E329" s="14" t="s">
        <v>50</v>
      </c>
      <c r="F329" s="14"/>
      <c r="G329" s="14"/>
      <c r="H329" s="14"/>
      <c r="I329" s="31"/>
      <c r="J329" s="31"/>
      <c r="K329" s="15"/>
      <c r="L329" s="15"/>
      <c r="M329" s="15"/>
      <c r="N329" s="15"/>
      <c r="O329" s="15"/>
      <c r="P329" s="14"/>
      <c r="Q329" s="14"/>
      <c r="R329" s="14"/>
      <c r="S329" s="14"/>
      <c r="T329" s="14"/>
      <c r="U329" s="14"/>
      <c r="V329" s="14"/>
      <c r="W329" s="14"/>
      <c r="X329" s="14"/>
      <c r="Y329" s="13"/>
      <c r="Z329" s="44"/>
      <c r="AA329" s="43"/>
      <c r="AB329" s="13"/>
      <c r="AC329" s="13"/>
      <c r="AD329" s="13"/>
      <c r="AE329" s="13"/>
      <c r="AF329" s="13"/>
      <c r="AG329" s="13"/>
      <c r="AH329" s="13"/>
      <c r="AI329" s="13"/>
      <c r="AJ329" s="13"/>
      <c r="AK329" s="44"/>
    </row>
    <row r="330" spans="1:38" ht="12.75" customHeight="1">
      <c r="A330" s="41">
        <v>321</v>
      </c>
      <c r="B330" s="10">
        <v>1105</v>
      </c>
      <c r="C330" s="10" t="s">
        <v>995</v>
      </c>
      <c r="D330" s="16">
        <v>290.07</v>
      </c>
      <c r="E330" s="20" t="s">
        <v>996</v>
      </c>
      <c r="F330" s="20" t="s">
        <v>997</v>
      </c>
      <c r="G330" s="12">
        <v>1</v>
      </c>
      <c r="H330" s="12">
        <v>5</v>
      </c>
      <c r="I330" s="16">
        <f>ROUND(G330,0)</f>
        <v>1</v>
      </c>
      <c r="J330" s="16">
        <f>ROUND(H330,0)</f>
        <v>5</v>
      </c>
      <c r="K330" s="18" t="str">
        <f>IF(I330=J330,"TAM",(CONCATENATE(G330,"/",H330)))</f>
        <v>1/5</v>
      </c>
      <c r="L330" s="29">
        <f>290.07*1/5</f>
        <v>58.014</v>
      </c>
      <c r="M330" s="30">
        <v>0</v>
      </c>
      <c r="N330" s="16" t="str">
        <f>IF(M330=0,"0",(O330*M330))</f>
        <v>0</v>
      </c>
      <c r="O330" s="16">
        <f>IF(W330=1,L330,((D330*G330/H330)-P330)/(1-V330)-S330-T330)</f>
        <v>58.013999999999996</v>
      </c>
      <c r="P330" s="16">
        <v>0</v>
      </c>
      <c r="Q330" s="16">
        <f>IF(U330=0,"0",O330*U330)</f>
        <v>19.42032757348413</v>
      </c>
      <c r="R330" s="17">
        <f>IF(U330=0,(((D330*G330/H330)-P330-S330-T330)/(1-V330)),(((D330*G330/H330)-P330-S330-T330)/(1-V330))-((D330*G330/H330)-P330-S330-T330)*U330/(1-V330))</f>
        <v>38.593672426515866</v>
      </c>
      <c r="S330" s="12">
        <v>0</v>
      </c>
      <c r="T330" s="12">
        <v>0</v>
      </c>
      <c r="U330" s="12">
        <v>0.334752431714485</v>
      </c>
      <c r="V330" s="12">
        <v>0</v>
      </c>
      <c r="W330" s="28">
        <f>IF(V330&gt;U330,1,V330)</f>
        <v>0</v>
      </c>
      <c r="X330" s="12">
        <v>1</v>
      </c>
      <c r="Y330" s="16">
        <v>0</v>
      </c>
      <c r="Z330" s="42" t="str">
        <f>IF(OR(W330=1,W330=0),"0",(Q330-N330))</f>
        <v>0</v>
      </c>
      <c r="AA330" s="53" t="s">
        <v>998</v>
      </c>
      <c r="AB330" s="16" t="s">
        <v>1000</v>
      </c>
      <c r="AC330" s="16">
        <v>38.59</v>
      </c>
      <c r="AD330" s="16">
        <v>350.52</v>
      </c>
      <c r="AE330" s="16">
        <f>ROUND(AC330*100,0)</f>
        <v>3859</v>
      </c>
      <c r="AF330" s="16">
        <f>ROUND(AD330*100,0)</f>
        <v>35052</v>
      </c>
      <c r="AG330" s="19" t="str">
        <f>IF(AC330=AD330,"TAM",(CONCATENATE(AE330,"/",AF330)))</f>
        <v>3859/35052</v>
      </c>
      <c r="AH330" s="11" t="s">
        <v>50</v>
      </c>
      <c r="AI330" s="21" t="s">
        <v>50</v>
      </c>
      <c r="AJ330" s="21" t="s">
        <v>999</v>
      </c>
      <c r="AK330" s="54" t="s">
        <v>50</v>
      </c>
      <c r="AL330" s="1" t="s">
        <v>50</v>
      </c>
    </row>
    <row r="331" spans="1:37" ht="12.75" customHeight="1">
      <c r="A331" s="43"/>
      <c r="B331" s="13"/>
      <c r="C331" s="13"/>
      <c r="D331" s="31"/>
      <c r="E331" s="14" t="s">
        <v>50</v>
      </c>
      <c r="F331" s="14"/>
      <c r="G331" s="14"/>
      <c r="H331" s="14"/>
      <c r="I331" s="31"/>
      <c r="J331" s="31"/>
      <c r="K331" s="15"/>
      <c r="L331" s="15"/>
      <c r="M331" s="15"/>
      <c r="N331" s="15"/>
      <c r="O331" s="15"/>
      <c r="P331" s="14"/>
      <c r="Q331" s="14"/>
      <c r="R331" s="14"/>
      <c r="S331" s="14"/>
      <c r="T331" s="14"/>
      <c r="U331" s="14"/>
      <c r="V331" s="14"/>
      <c r="W331" s="14"/>
      <c r="X331" s="14"/>
      <c r="Y331" s="13"/>
      <c r="Z331" s="44"/>
      <c r="AA331" s="43"/>
      <c r="AB331" s="13"/>
      <c r="AC331" s="13"/>
      <c r="AD331" s="13"/>
      <c r="AE331" s="13"/>
      <c r="AF331" s="13"/>
      <c r="AG331" s="13"/>
      <c r="AH331" s="13"/>
      <c r="AI331" s="13"/>
      <c r="AJ331" s="13"/>
      <c r="AK331" s="44"/>
    </row>
    <row r="332" spans="1:38" ht="12.75" customHeight="1">
      <c r="A332" s="41">
        <v>322</v>
      </c>
      <c r="B332" s="10">
        <v>1105</v>
      </c>
      <c r="C332" s="10" t="s">
        <v>1001</v>
      </c>
      <c r="D332" s="16">
        <v>290.07</v>
      </c>
      <c r="E332" s="20" t="s">
        <v>1002</v>
      </c>
      <c r="F332" s="20" t="s">
        <v>1003</v>
      </c>
      <c r="G332" s="12">
        <v>1</v>
      </c>
      <c r="H332" s="12">
        <v>5</v>
      </c>
      <c r="I332" s="16">
        <f>ROUND(G332,0)</f>
        <v>1</v>
      </c>
      <c r="J332" s="16">
        <f>ROUND(H332,0)</f>
        <v>5</v>
      </c>
      <c r="K332" s="18" t="str">
        <f>IF(I332=J332,"TAM",(CONCATENATE(G332,"/",H332)))</f>
        <v>1/5</v>
      </c>
      <c r="L332" s="29">
        <f>290.07*1/5</f>
        <v>58.014</v>
      </c>
      <c r="M332" s="30">
        <v>0</v>
      </c>
      <c r="N332" s="16" t="str">
        <f>IF(M332=0,"0",(O332*M332))</f>
        <v>0</v>
      </c>
      <c r="O332" s="16">
        <f>IF(W332=1,L332,((D332*G332/H332)-P332)/(1-V332)-S332-T332)</f>
        <v>58.013999999999996</v>
      </c>
      <c r="P332" s="16">
        <v>0</v>
      </c>
      <c r="Q332" s="16">
        <f>IF(U332=0,"0",O332*U332)</f>
        <v>19.42032757348413</v>
      </c>
      <c r="R332" s="17">
        <f>IF(U332=0,(((D332*G332/H332)-P332-S332-T332)/(1-V332)),(((D332*G332/H332)-P332-S332-T332)/(1-V332))-((D332*G332/H332)-P332-S332-T332)*U332/(1-V332))</f>
        <v>38.593672426515866</v>
      </c>
      <c r="S332" s="12">
        <v>0</v>
      </c>
      <c r="T332" s="12">
        <v>0</v>
      </c>
      <c r="U332" s="12">
        <v>0.334752431714485</v>
      </c>
      <c r="V332" s="12">
        <v>0</v>
      </c>
      <c r="W332" s="28">
        <f>IF(V332&gt;U332,1,V332)</f>
        <v>0</v>
      </c>
      <c r="X332" s="12">
        <v>1</v>
      </c>
      <c r="Y332" s="16">
        <v>0</v>
      </c>
      <c r="Z332" s="42" t="str">
        <f>IF(OR(W332=1,W332=0),"0",(Q332-N332))</f>
        <v>0</v>
      </c>
      <c r="AA332" s="53" t="s">
        <v>1004</v>
      </c>
      <c r="AB332" s="16" t="s">
        <v>1006</v>
      </c>
      <c r="AC332" s="16">
        <v>38.6</v>
      </c>
      <c r="AD332" s="16">
        <v>350.52</v>
      </c>
      <c r="AE332" s="16">
        <f>ROUND(AC332*100,0)</f>
        <v>3860</v>
      </c>
      <c r="AF332" s="16">
        <f>ROUND(AD332*100,0)</f>
        <v>35052</v>
      </c>
      <c r="AG332" s="19" t="str">
        <f>IF(AC332=AD332,"TAM",(CONCATENATE(AE332,"/",AF332)))</f>
        <v>3860/35052</v>
      </c>
      <c r="AH332" s="11" t="s">
        <v>50</v>
      </c>
      <c r="AI332" s="21" t="s">
        <v>50</v>
      </c>
      <c r="AJ332" s="21" t="s">
        <v>1005</v>
      </c>
      <c r="AK332" s="54" t="s">
        <v>50</v>
      </c>
      <c r="AL332" s="1" t="s">
        <v>50</v>
      </c>
    </row>
    <row r="333" spans="1:37" ht="12.75" customHeight="1">
      <c r="A333" s="43"/>
      <c r="B333" s="13"/>
      <c r="C333" s="13"/>
      <c r="D333" s="31"/>
      <c r="E333" s="14" t="s">
        <v>50</v>
      </c>
      <c r="F333" s="14"/>
      <c r="G333" s="14"/>
      <c r="H333" s="14"/>
      <c r="I333" s="31"/>
      <c r="J333" s="31"/>
      <c r="K333" s="15"/>
      <c r="L333" s="15"/>
      <c r="M333" s="15"/>
      <c r="N333" s="15"/>
      <c r="O333" s="15"/>
      <c r="P333" s="14"/>
      <c r="Q333" s="14"/>
      <c r="R333" s="14"/>
      <c r="S333" s="14"/>
      <c r="T333" s="14"/>
      <c r="U333" s="14"/>
      <c r="V333" s="14"/>
      <c r="W333" s="14"/>
      <c r="X333" s="14"/>
      <c r="Y333" s="13"/>
      <c r="Z333" s="44"/>
      <c r="AA333" s="43"/>
      <c r="AB333" s="13"/>
      <c r="AC333" s="13"/>
      <c r="AD333" s="13"/>
      <c r="AE333" s="13"/>
      <c r="AF333" s="13"/>
      <c r="AG333" s="13"/>
      <c r="AH333" s="13"/>
      <c r="AI333" s="13"/>
      <c r="AJ333" s="13"/>
      <c r="AK333" s="44"/>
    </row>
    <row r="334" spans="1:38" ht="39" customHeight="1">
      <c r="A334" s="41">
        <v>338</v>
      </c>
      <c r="B334" s="10">
        <v>1106</v>
      </c>
      <c r="C334" s="10" t="s">
        <v>1007</v>
      </c>
      <c r="D334" s="16">
        <v>454.49</v>
      </c>
      <c r="E334" s="20" t="s">
        <v>1008</v>
      </c>
      <c r="F334" s="20" t="s">
        <v>1009</v>
      </c>
      <c r="G334" s="12">
        <v>1</v>
      </c>
      <c r="H334" s="12">
        <v>1</v>
      </c>
      <c r="I334" s="16">
        <f>ROUND(G334,0)</f>
        <v>1</v>
      </c>
      <c r="J334" s="16">
        <f>ROUND(H334,0)</f>
        <v>1</v>
      </c>
      <c r="K334" s="18" t="str">
        <f>IF(I334=J334,"TAM",(CONCATENATE(G334,"/",H334)))</f>
        <v>TAM</v>
      </c>
      <c r="L334" s="29">
        <f>454.49*1/1</f>
        <v>454.49</v>
      </c>
      <c r="M334" s="30">
        <v>0</v>
      </c>
      <c r="N334" s="16" t="str">
        <f>IF(M334=0,"0",(O334*M334))</f>
        <v>0</v>
      </c>
      <c r="O334" s="16">
        <f>IF(W334=1,L334,((D334*G334/H334)-P334)/(1-V334)-S334-T334)</f>
        <v>454.49</v>
      </c>
      <c r="P334" s="16">
        <v>0</v>
      </c>
      <c r="Q334" s="16">
        <f>IF(U334=0,"0",O334*U334)</f>
        <v>152.1416326899163</v>
      </c>
      <c r="R334" s="17">
        <f>IF(U334=0,(((D334*G334/H334)-P334-S334-T334)/(1-V334)),(((D334*G334/H334)-P334-S334-T334)/(1-V334))-((D334*G334/H334)-P334-S334-T334)*U334/(1-V334))</f>
        <v>302.34836731008374</v>
      </c>
      <c r="S334" s="12">
        <v>0</v>
      </c>
      <c r="T334" s="12">
        <v>0</v>
      </c>
      <c r="U334" s="12">
        <v>0.334752431714485</v>
      </c>
      <c r="V334" s="12">
        <v>0</v>
      </c>
      <c r="W334" s="28">
        <f>IF(V334&gt;U334,1,V334)</f>
        <v>0</v>
      </c>
      <c r="X334" s="12">
        <v>1</v>
      </c>
      <c r="Y334" s="16">
        <v>0</v>
      </c>
      <c r="Z334" s="42" t="str">
        <f>IF(OR(W334=1,W334=0),"0",(Q334-N334))</f>
        <v>0</v>
      </c>
      <c r="AA334" s="53" t="s">
        <v>1010</v>
      </c>
      <c r="AB334" s="16" t="s">
        <v>1011</v>
      </c>
      <c r="AC334" s="16">
        <v>302.35</v>
      </c>
      <c r="AD334" s="16">
        <v>787.1</v>
      </c>
      <c r="AE334" s="16">
        <f>ROUND(AC334*100,0)</f>
        <v>30235</v>
      </c>
      <c r="AF334" s="16">
        <f>ROUND(AD334*100,0)</f>
        <v>78710</v>
      </c>
      <c r="AG334" s="19" t="str">
        <f>IF(AC334=AD334,"TAM",(CONCATENATE(AE334,"/",AF334)))</f>
        <v>30235/78710</v>
      </c>
      <c r="AH334" s="11" t="s">
        <v>50</v>
      </c>
      <c r="AI334" s="21" t="s">
        <v>50</v>
      </c>
      <c r="AJ334" s="77" t="s">
        <v>2430</v>
      </c>
      <c r="AK334" s="54" t="s">
        <v>50</v>
      </c>
      <c r="AL334" s="1" t="s">
        <v>50</v>
      </c>
    </row>
    <row r="335" spans="1:37" ht="39" customHeight="1">
      <c r="A335" s="43"/>
      <c r="B335" s="13"/>
      <c r="C335" s="13"/>
      <c r="D335" s="31"/>
      <c r="E335" s="14" t="s">
        <v>50</v>
      </c>
      <c r="F335" s="14"/>
      <c r="G335" s="14"/>
      <c r="H335" s="14"/>
      <c r="I335" s="31"/>
      <c r="J335" s="31"/>
      <c r="K335" s="15"/>
      <c r="L335" s="15"/>
      <c r="M335" s="15"/>
      <c r="N335" s="15"/>
      <c r="O335" s="15"/>
      <c r="P335" s="14"/>
      <c r="Q335" s="14"/>
      <c r="R335" s="14"/>
      <c r="S335" s="14"/>
      <c r="T335" s="14"/>
      <c r="U335" s="14"/>
      <c r="V335" s="14"/>
      <c r="W335" s="14"/>
      <c r="X335" s="14"/>
      <c r="Y335" s="13"/>
      <c r="Z335" s="44"/>
      <c r="AA335" s="43"/>
      <c r="AB335" s="13"/>
      <c r="AC335" s="13"/>
      <c r="AD335" s="13"/>
      <c r="AE335" s="13"/>
      <c r="AF335" s="13"/>
      <c r="AG335" s="13"/>
      <c r="AH335" s="13"/>
      <c r="AI335" s="13"/>
      <c r="AJ335" s="78"/>
      <c r="AK335" s="44"/>
    </row>
    <row r="336" spans="1:38" ht="39" customHeight="1">
      <c r="A336" s="41">
        <v>341</v>
      </c>
      <c r="B336" s="10">
        <v>1109</v>
      </c>
      <c r="C336" s="10" t="s">
        <v>1012</v>
      </c>
      <c r="D336" s="16">
        <v>559.53</v>
      </c>
      <c r="E336" s="20" t="s">
        <v>1013</v>
      </c>
      <c r="F336" s="20" t="s">
        <v>1014</v>
      </c>
      <c r="G336" s="12">
        <v>1</v>
      </c>
      <c r="H336" s="12">
        <v>1</v>
      </c>
      <c r="I336" s="16">
        <f>ROUND(G336,0)</f>
        <v>1</v>
      </c>
      <c r="J336" s="16">
        <f>ROUND(H336,0)</f>
        <v>1</v>
      </c>
      <c r="K336" s="18" t="str">
        <f>IF(I336=J336,"TAM",(CONCATENATE(G336,"/",H336)))</f>
        <v>TAM</v>
      </c>
      <c r="L336" s="29">
        <f>559.53*1/1</f>
        <v>559.53</v>
      </c>
      <c r="M336" s="30">
        <v>0</v>
      </c>
      <c r="N336" s="16" t="str">
        <f>IF(M336=0,"0",(O336*M336))</f>
        <v>0</v>
      </c>
      <c r="O336" s="16">
        <f>IF(W336=1,L336,((D336*G336/H336)-P336)/(1-V336)-S336-T336)</f>
        <v>559.53</v>
      </c>
      <c r="P336" s="16">
        <v>0</v>
      </c>
      <c r="Q336" s="16">
        <f>IF(U336=0,"0",O336*U336)</f>
        <v>187.30402811720577</v>
      </c>
      <c r="R336" s="17">
        <f>IF(U336=0,(((D336*G336/H336)-P336-S336-T336)/(1-V336)),(((D336*G336/H336)-P336-S336-T336)/(1-V336))-((D336*G336/H336)-P336-S336-T336)*U336/(1-V336))</f>
        <v>372.22597188279417</v>
      </c>
      <c r="S336" s="12">
        <v>0</v>
      </c>
      <c r="T336" s="12">
        <v>0</v>
      </c>
      <c r="U336" s="12">
        <v>0.334752431714485</v>
      </c>
      <c r="V336" s="12">
        <v>0</v>
      </c>
      <c r="W336" s="28">
        <f>IF(V336&gt;U336,1,V336)</f>
        <v>0</v>
      </c>
      <c r="X336" s="12">
        <v>1</v>
      </c>
      <c r="Y336" s="16">
        <v>0</v>
      </c>
      <c r="Z336" s="42" t="str">
        <f>IF(OR(W336=1,W336=0),"0",(Q336-N336))</f>
        <v>0</v>
      </c>
      <c r="AA336" s="53" t="s">
        <v>1015</v>
      </c>
      <c r="AB336" s="16" t="s">
        <v>1016</v>
      </c>
      <c r="AC336" s="16">
        <v>372.23</v>
      </c>
      <c r="AD336" s="16">
        <v>787.1</v>
      </c>
      <c r="AE336" s="16">
        <f>ROUND(AC336*100,0)</f>
        <v>37223</v>
      </c>
      <c r="AF336" s="16">
        <f>ROUND(AD336*100,0)</f>
        <v>78710</v>
      </c>
      <c r="AG336" s="19" t="str">
        <f>IF(AC336=AD336,"TAM",(CONCATENATE(AE336,"/",AF336)))</f>
        <v>37223/78710</v>
      </c>
      <c r="AH336" s="11" t="s">
        <v>50</v>
      </c>
      <c r="AI336" s="21" t="s">
        <v>50</v>
      </c>
      <c r="AJ336" s="77" t="s">
        <v>2430</v>
      </c>
      <c r="AK336" s="54" t="s">
        <v>50</v>
      </c>
      <c r="AL336" s="1" t="s">
        <v>50</v>
      </c>
    </row>
    <row r="337" spans="1:37" ht="39" customHeight="1">
      <c r="A337" s="43"/>
      <c r="B337" s="13"/>
      <c r="C337" s="13"/>
      <c r="D337" s="31"/>
      <c r="E337" s="14" t="s">
        <v>50</v>
      </c>
      <c r="F337" s="14"/>
      <c r="G337" s="14"/>
      <c r="H337" s="14"/>
      <c r="I337" s="31"/>
      <c r="J337" s="31"/>
      <c r="K337" s="15"/>
      <c r="L337" s="15"/>
      <c r="M337" s="15"/>
      <c r="N337" s="15"/>
      <c r="O337" s="15"/>
      <c r="P337" s="14"/>
      <c r="Q337" s="14"/>
      <c r="R337" s="14"/>
      <c r="S337" s="14"/>
      <c r="T337" s="14"/>
      <c r="U337" s="14"/>
      <c r="V337" s="14"/>
      <c r="W337" s="14"/>
      <c r="X337" s="14"/>
      <c r="Y337" s="13"/>
      <c r="Z337" s="44"/>
      <c r="AA337" s="43"/>
      <c r="AB337" s="13"/>
      <c r="AC337" s="13"/>
      <c r="AD337" s="13"/>
      <c r="AE337" s="13"/>
      <c r="AF337" s="13"/>
      <c r="AG337" s="13"/>
      <c r="AH337" s="13"/>
      <c r="AI337" s="13"/>
      <c r="AJ337" s="78"/>
      <c r="AK337" s="44"/>
    </row>
    <row r="338" spans="1:38" ht="39" customHeight="1">
      <c r="A338" s="41">
        <v>352</v>
      </c>
      <c r="B338" s="10">
        <v>1110</v>
      </c>
      <c r="C338" s="10" t="s">
        <v>1017</v>
      </c>
      <c r="D338" s="16">
        <v>1059.82</v>
      </c>
      <c r="E338" s="20" t="s">
        <v>1018</v>
      </c>
      <c r="F338" s="20" t="s">
        <v>1019</v>
      </c>
      <c r="G338" s="12">
        <v>1</v>
      </c>
      <c r="H338" s="12">
        <v>12</v>
      </c>
      <c r="I338" s="16">
        <f>ROUND(G338,0)</f>
        <v>1</v>
      </c>
      <c r="J338" s="16">
        <f>ROUND(H338,0)</f>
        <v>12</v>
      </c>
      <c r="K338" s="18" t="str">
        <f>IF(I338=J338,"TAM",(CONCATENATE(G338,"/",H338)))</f>
        <v>1/12</v>
      </c>
      <c r="L338" s="29">
        <f>1059.82*1/12</f>
        <v>88.31833333333333</v>
      </c>
      <c r="M338" s="30">
        <v>0</v>
      </c>
      <c r="N338" s="16" t="str">
        <f>IF(M338=0,"0",(O338*M338))</f>
        <v>0</v>
      </c>
      <c r="O338" s="16">
        <f>IF(W338=1,L338,((D338*G338/H338)-P338)/(1-V338)-S338-T338)</f>
        <v>88.31833333333333</v>
      </c>
      <c r="P338" s="16">
        <v>0</v>
      </c>
      <c r="Q338" s="16">
        <f>IF(U338=0,"0",O338*U338)</f>
        <v>29.564776848303786</v>
      </c>
      <c r="R338" s="17">
        <f>IF(U338=0,(((D338*G338/H338)-P338-S338-T338)/(1-V338)),(((D338*G338/H338)-P338-S338-T338)/(1-V338))-((D338*G338/H338)-P338-S338-T338)*U338/(1-V338))</f>
        <v>58.75355648502954</v>
      </c>
      <c r="S338" s="12">
        <v>0</v>
      </c>
      <c r="T338" s="12">
        <v>0</v>
      </c>
      <c r="U338" s="12">
        <v>0.334752431714485</v>
      </c>
      <c r="V338" s="12">
        <v>0</v>
      </c>
      <c r="W338" s="28">
        <f>IF(V338&gt;U338,1,V338)</f>
        <v>0</v>
      </c>
      <c r="X338" s="12">
        <v>1</v>
      </c>
      <c r="Y338" s="16">
        <v>0</v>
      </c>
      <c r="Z338" s="42" t="str">
        <f>IF(OR(W338=1,W338=0),"0",(Q338-N338))</f>
        <v>0</v>
      </c>
      <c r="AA338" s="53" t="s">
        <v>1020</v>
      </c>
      <c r="AB338" s="16" t="s">
        <v>1021</v>
      </c>
      <c r="AC338" s="16">
        <v>9.37</v>
      </c>
      <c r="AD338" s="16">
        <v>787.1</v>
      </c>
      <c r="AE338" s="16">
        <f>ROUND(AC338*100,0)</f>
        <v>937</v>
      </c>
      <c r="AF338" s="16">
        <f>ROUND(AD338*100,0)</f>
        <v>78710</v>
      </c>
      <c r="AG338" s="19" t="str">
        <f>IF(AC338=AD338,"TAM",(CONCATENATE(AE338,"/",AF338)))</f>
        <v>937/78710</v>
      </c>
      <c r="AH338" s="11" t="s">
        <v>50</v>
      </c>
      <c r="AI338" s="21" t="s">
        <v>50</v>
      </c>
      <c r="AJ338" s="77" t="s">
        <v>2430</v>
      </c>
      <c r="AK338" s="54" t="s">
        <v>50</v>
      </c>
      <c r="AL338" s="1" t="s">
        <v>50</v>
      </c>
    </row>
    <row r="339" spans="1:37" ht="39" customHeight="1">
      <c r="A339" s="43"/>
      <c r="B339" s="13"/>
      <c r="C339" s="13"/>
      <c r="D339" s="31"/>
      <c r="E339" s="14" t="s">
        <v>50</v>
      </c>
      <c r="F339" s="14"/>
      <c r="G339" s="14"/>
      <c r="H339" s="14"/>
      <c r="I339" s="31"/>
      <c r="J339" s="31"/>
      <c r="K339" s="15"/>
      <c r="L339" s="15"/>
      <c r="M339" s="15"/>
      <c r="N339" s="15"/>
      <c r="O339" s="15"/>
      <c r="P339" s="14"/>
      <c r="Q339" s="14"/>
      <c r="R339" s="14"/>
      <c r="S339" s="14"/>
      <c r="T339" s="14"/>
      <c r="U339" s="14"/>
      <c r="V339" s="14"/>
      <c r="W339" s="14"/>
      <c r="X339" s="14"/>
      <c r="Y339" s="13"/>
      <c r="Z339" s="44"/>
      <c r="AA339" s="43"/>
      <c r="AB339" s="13"/>
      <c r="AC339" s="13"/>
      <c r="AD339" s="13"/>
      <c r="AE339" s="13"/>
      <c r="AF339" s="13"/>
      <c r="AG339" s="13"/>
      <c r="AH339" s="13"/>
      <c r="AI339" s="13"/>
      <c r="AJ339" s="78"/>
      <c r="AK339" s="44"/>
    </row>
    <row r="340" spans="1:38" ht="39" customHeight="1">
      <c r="A340" s="41">
        <v>347</v>
      </c>
      <c r="B340" s="10">
        <v>1110</v>
      </c>
      <c r="C340" s="10" t="s">
        <v>1022</v>
      </c>
      <c r="D340" s="16">
        <v>1059.82</v>
      </c>
      <c r="E340" s="20" t="s">
        <v>1023</v>
      </c>
      <c r="F340" s="20" t="s">
        <v>1024</v>
      </c>
      <c r="G340" s="12">
        <v>1</v>
      </c>
      <c r="H340" s="12">
        <v>4</v>
      </c>
      <c r="I340" s="16">
        <f>ROUND(G340,0)</f>
        <v>1</v>
      </c>
      <c r="J340" s="16">
        <f>ROUND(H340,0)</f>
        <v>4</v>
      </c>
      <c r="K340" s="18" t="str">
        <f>IF(I340=J340,"TAM",(CONCATENATE(G340,"/",H340)))</f>
        <v>1/4</v>
      </c>
      <c r="L340" s="29">
        <f>1059.82*1/4</f>
        <v>264.955</v>
      </c>
      <c r="M340" s="30">
        <v>0</v>
      </c>
      <c r="N340" s="16" t="str">
        <f>IF(M340=0,"0",(O340*M340))</f>
        <v>0</v>
      </c>
      <c r="O340" s="16">
        <f>IF(W340=1,L340,((D340*G340/H340)-P340)/(1-V340)-S340-T340)</f>
        <v>264.955</v>
      </c>
      <c r="P340" s="16">
        <v>0</v>
      </c>
      <c r="Q340" s="16">
        <f>IF(U340=0,"0",O340*U340)</f>
        <v>88.69433054491137</v>
      </c>
      <c r="R340" s="17">
        <f>IF(U340=0,(((D340*G340/H340)-P340-S340-T340)/(1-V340)),(((D340*G340/H340)-P340-S340-T340)/(1-V340))-((D340*G340/H340)-P340-S340-T340)*U340/(1-V340))</f>
        <v>176.26066945508862</v>
      </c>
      <c r="S340" s="12">
        <v>0</v>
      </c>
      <c r="T340" s="12">
        <v>0</v>
      </c>
      <c r="U340" s="12">
        <v>0.334752431714485</v>
      </c>
      <c r="V340" s="12">
        <v>0</v>
      </c>
      <c r="W340" s="28">
        <f>IF(V340&gt;U340,1,V340)</f>
        <v>0</v>
      </c>
      <c r="X340" s="12">
        <v>1</v>
      </c>
      <c r="Y340" s="16">
        <v>0</v>
      </c>
      <c r="Z340" s="42" t="str">
        <f>IF(OR(W340=1,W340=0),"0",(Q340-N340))</f>
        <v>0</v>
      </c>
      <c r="AA340" s="53" t="s">
        <v>1026</v>
      </c>
      <c r="AB340" s="16" t="s">
        <v>1027</v>
      </c>
      <c r="AC340" s="16">
        <v>28.13</v>
      </c>
      <c r="AD340" s="16">
        <v>787.1</v>
      </c>
      <c r="AE340" s="16">
        <f>ROUND(AC340*100,0)</f>
        <v>2813</v>
      </c>
      <c r="AF340" s="16">
        <f>ROUND(AD340*100,0)</f>
        <v>78710</v>
      </c>
      <c r="AG340" s="19" t="str">
        <f>IF(AC340=AD340,"TAM",(CONCATENATE(AE340,"/",AF340)))</f>
        <v>2813/78710</v>
      </c>
      <c r="AH340" s="11" t="s">
        <v>50</v>
      </c>
      <c r="AI340" s="21" t="s">
        <v>50</v>
      </c>
      <c r="AJ340" s="77" t="s">
        <v>2430</v>
      </c>
      <c r="AK340" s="54" t="s">
        <v>50</v>
      </c>
      <c r="AL340" s="1" t="s">
        <v>50</v>
      </c>
    </row>
    <row r="341" spans="1:37" ht="39" customHeight="1">
      <c r="A341" s="43"/>
      <c r="B341" s="13"/>
      <c r="C341" s="13"/>
      <c r="D341" s="31"/>
      <c r="E341" s="34" t="s">
        <v>1025</v>
      </c>
      <c r="F341" s="14"/>
      <c r="G341" s="14"/>
      <c r="H341" s="14"/>
      <c r="I341" s="31"/>
      <c r="J341" s="31"/>
      <c r="K341" s="15"/>
      <c r="L341" s="15"/>
      <c r="M341" s="15"/>
      <c r="N341" s="15"/>
      <c r="O341" s="15"/>
      <c r="P341" s="14"/>
      <c r="Q341" s="14"/>
      <c r="R341" s="14"/>
      <c r="S341" s="14"/>
      <c r="T341" s="14"/>
      <c r="U341" s="14"/>
      <c r="V341" s="14"/>
      <c r="W341" s="14"/>
      <c r="X341" s="14"/>
      <c r="Y341" s="13"/>
      <c r="Z341" s="44"/>
      <c r="AA341" s="43"/>
      <c r="AB341" s="13"/>
      <c r="AC341" s="13"/>
      <c r="AD341" s="13"/>
      <c r="AE341" s="13"/>
      <c r="AF341" s="13"/>
      <c r="AG341" s="13"/>
      <c r="AH341" s="13"/>
      <c r="AI341" s="13"/>
      <c r="AJ341" s="78"/>
      <c r="AK341" s="44"/>
    </row>
    <row r="342" spans="1:38" ht="39" customHeight="1">
      <c r="A342" s="41">
        <v>345</v>
      </c>
      <c r="B342" s="10">
        <v>1110</v>
      </c>
      <c r="C342" s="10" t="s">
        <v>1028</v>
      </c>
      <c r="D342" s="16">
        <v>1059.82</v>
      </c>
      <c r="E342" s="20" t="s">
        <v>1029</v>
      </c>
      <c r="F342" s="20" t="s">
        <v>1030</v>
      </c>
      <c r="G342" s="12">
        <v>3</v>
      </c>
      <c r="H342" s="12">
        <v>64</v>
      </c>
      <c r="I342" s="16">
        <f>ROUND(G342,0)</f>
        <v>3</v>
      </c>
      <c r="J342" s="16">
        <f>ROUND(H342,0)</f>
        <v>64</v>
      </c>
      <c r="K342" s="18" t="str">
        <f>IF(I342=J342,"TAM",(CONCATENATE(G342,"/",H342)))</f>
        <v>3/64</v>
      </c>
      <c r="L342" s="29">
        <f>1059.82*3/64</f>
        <v>49.6790625</v>
      </c>
      <c r="M342" s="30">
        <v>0</v>
      </c>
      <c r="N342" s="16" t="str">
        <f>IF(M342=0,"0",(O342*M342))</f>
        <v>0</v>
      </c>
      <c r="O342" s="16">
        <f>IF(W342=1,L342,((D342*G342/H342)-P342)/(1-V342)-S342-T342)</f>
        <v>49.6790625</v>
      </c>
      <c r="P342" s="16">
        <v>0</v>
      </c>
      <c r="Q342" s="16">
        <f>IF(U342=0,"0",O342*U342)</f>
        <v>16.630186977170883</v>
      </c>
      <c r="R342" s="17">
        <f>IF(U342=0,(((D342*G342/H342)-P342-S342-T342)/(1-V342)),(((D342*G342/H342)-P342-S342-T342)/(1-V342))-((D342*G342/H342)-P342-S342-T342)*U342/(1-V342))</f>
        <v>33.04887552282912</v>
      </c>
      <c r="S342" s="12">
        <v>0</v>
      </c>
      <c r="T342" s="12">
        <v>0</v>
      </c>
      <c r="U342" s="12">
        <v>0.334752431714485</v>
      </c>
      <c r="V342" s="12">
        <v>0</v>
      </c>
      <c r="W342" s="28">
        <f>IF(V342&gt;U342,1,V342)</f>
        <v>0</v>
      </c>
      <c r="X342" s="12">
        <v>1</v>
      </c>
      <c r="Y342" s="16">
        <v>0</v>
      </c>
      <c r="Z342" s="42" t="str">
        <f>IF(OR(W342=1,W342=0),"0",(Q342-N342))</f>
        <v>0</v>
      </c>
      <c r="AA342" s="53" t="s">
        <v>1031</v>
      </c>
      <c r="AB342" s="16" t="s">
        <v>1032</v>
      </c>
      <c r="AC342" s="16">
        <v>5.28</v>
      </c>
      <c r="AD342" s="16">
        <v>787.1</v>
      </c>
      <c r="AE342" s="16">
        <f>ROUND(AC342*100,0)</f>
        <v>528</v>
      </c>
      <c r="AF342" s="16">
        <f>ROUND(AD342*100,0)</f>
        <v>78710</v>
      </c>
      <c r="AG342" s="19" t="str">
        <f>IF(AC342=AD342,"TAM",(CONCATENATE(AE342,"/",AF342)))</f>
        <v>528/78710</v>
      </c>
      <c r="AH342" s="11" t="s">
        <v>50</v>
      </c>
      <c r="AI342" s="21" t="s">
        <v>50</v>
      </c>
      <c r="AJ342" s="77" t="s">
        <v>2430</v>
      </c>
      <c r="AK342" s="54" t="s">
        <v>50</v>
      </c>
      <c r="AL342" s="1" t="s">
        <v>50</v>
      </c>
    </row>
    <row r="343" spans="1:37" ht="39" customHeight="1">
      <c r="A343" s="43"/>
      <c r="B343" s="13"/>
      <c r="C343" s="13"/>
      <c r="D343" s="31"/>
      <c r="E343" s="14" t="s">
        <v>50</v>
      </c>
      <c r="F343" s="14"/>
      <c r="G343" s="14"/>
      <c r="H343" s="14"/>
      <c r="I343" s="31"/>
      <c r="J343" s="31"/>
      <c r="K343" s="15"/>
      <c r="L343" s="15"/>
      <c r="M343" s="15"/>
      <c r="N343" s="15"/>
      <c r="O343" s="15"/>
      <c r="P343" s="14"/>
      <c r="Q343" s="14"/>
      <c r="R343" s="14"/>
      <c r="S343" s="14"/>
      <c r="T343" s="14"/>
      <c r="U343" s="14"/>
      <c r="V343" s="14"/>
      <c r="W343" s="14"/>
      <c r="X343" s="14"/>
      <c r="Y343" s="13"/>
      <c r="Z343" s="44"/>
      <c r="AA343" s="43"/>
      <c r="AB343" s="13"/>
      <c r="AC343" s="13"/>
      <c r="AD343" s="13"/>
      <c r="AE343" s="13"/>
      <c r="AF343" s="13"/>
      <c r="AG343" s="13"/>
      <c r="AH343" s="13"/>
      <c r="AI343" s="13"/>
      <c r="AJ343" s="78"/>
      <c r="AK343" s="44"/>
    </row>
    <row r="344" spans="1:38" ht="39" customHeight="1">
      <c r="A344" s="41">
        <v>344</v>
      </c>
      <c r="B344" s="10">
        <v>1110</v>
      </c>
      <c r="C344" s="10" t="s">
        <v>1033</v>
      </c>
      <c r="D344" s="16">
        <v>1059.82</v>
      </c>
      <c r="E344" s="20" t="s">
        <v>1034</v>
      </c>
      <c r="F344" s="20" t="s">
        <v>1035</v>
      </c>
      <c r="G344" s="12">
        <v>3</v>
      </c>
      <c r="H344" s="12">
        <v>64</v>
      </c>
      <c r="I344" s="16">
        <f>ROUND(G344,0)</f>
        <v>3</v>
      </c>
      <c r="J344" s="16">
        <f>ROUND(H344,0)</f>
        <v>64</v>
      </c>
      <c r="K344" s="18" t="str">
        <f>IF(I344=J344,"TAM",(CONCATENATE(G344,"/",H344)))</f>
        <v>3/64</v>
      </c>
      <c r="L344" s="29">
        <f>1059.82*3/64</f>
        <v>49.6790625</v>
      </c>
      <c r="M344" s="30">
        <v>0</v>
      </c>
      <c r="N344" s="16" t="str">
        <f>IF(M344=0,"0",(O344*M344))</f>
        <v>0</v>
      </c>
      <c r="O344" s="16">
        <f>IF(W344=1,L344,((D344*G344/H344)-P344)/(1-V344)-S344-T344)</f>
        <v>49.6790625</v>
      </c>
      <c r="P344" s="16">
        <v>0</v>
      </c>
      <c r="Q344" s="16">
        <f>IF(U344=0,"0",O344*U344)</f>
        <v>16.630186977170883</v>
      </c>
      <c r="R344" s="17">
        <f>IF(U344=0,(((D344*G344/H344)-P344-S344-T344)/(1-V344)),(((D344*G344/H344)-P344-S344-T344)/(1-V344))-((D344*G344/H344)-P344-S344-T344)*U344/(1-V344))</f>
        <v>33.04887552282912</v>
      </c>
      <c r="S344" s="12">
        <v>0</v>
      </c>
      <c r="T344" s="12">
        <v>0</v>
      </c>
      <c r="U344" s="12">
        <v>0.334752431714485</v>
      </c>
      <c r="V344" s="12">
        <v>0</v>
      </c>
      <c r="W344" s="28">
        <f>IF(V344&gt;U344,1,V344)</f>
        <v>0</v>
      </c>
      <c r="X344" s="12">
        <v>1</v>
      </c>
      <c r="Y344" s="16">
        <v>0</v>
      </c>
      <c r="Z344" s="42" t="str">
        <f>IF(OR(W344=1,W344=0),"0",(Q344-N344))</f>
        <v>0</v>
      </c>
      <c r="AA344" s="53" t="s">
        <v>1036</v>
      </c>
      <c r="AB344" s="16" t="s">
        <v>1037</v>
      </c>
      <c r="AC344" s="16">
        <v>5.28</v>
      </c>
      <c r="AD344" s="16">
        <v>787.1</v>
      </c>
      <c r="AE344" s="16">
        <f>ROUND(AC344*100,0)</f>
        <v>528</v>
      </c>
      <c r="AF344" s="16">
        <f>ROUND(AD344*100,0)</f>
        <v>78710</v>
      </c>
      <c r="AG344" s="19" t="str">
        <f>IF(AC344=AD344,"TAM",(CONCATENATE(AE344,"/",AF344)))</f>
        <v>528/78710</v>
      </c>
      <c r="AH344" s="11" t="s">
        <v>50</v>
      </c>
      <c r="AI344" s="21" t="s">
        <v>50</v>
      </c>
      <c r="AJ344" s="77" t="s">
        <v>2430</v>
      </c>
      <c r="AK344" s="54" t="s">
        <v>50</v>
      </c>
      <c r="AL344" s="1" t="s">
        <v>50</v>
      </c>
    </row>
    <row r="345" spans="1:37" ht="39" customHeight="1">
      <c r="A345" s="43"/>
      <c r="B345" s="13"/>
      <c r="C345" s="13"/>
      <c r="D345" s="31"/>
      <c r="E345" s="14" t="s">
        <v>50</v>
      </c>
      <c r="F345" s="14"/>
      <c r="G345" s="14"/>
      <c r="H345" s="14"/>
      <c r="I345" s="31"/>
      <c r="J345" s="31"/>
      <c r="K345" s="15"/>
      <c r="L345" s="15"/>
      <c r="M345" s="15"/>
      <c r="N345" s="15"/>
      <c r="O345" s="15"/>
      <c r="P345" s="14"/>
      <c r="Q345" s="14"/>
      <c r="R345" s="14"/>
      <c r="S345" s="14"/>
      <c r="T345" s="14"/>
      <c r="U345" s="14"/>
      <c r="V345" s="14"/>
      <c r="W345" s="14"/>
      <c r="X345" s="14"/>
      <c r="Y345" s="13"/>
      <c r="Z345" s="44"/>
      <c r="AA345" s="43"/>
      <c r="AB345" s="13"/>
      <c r="AC345" s="13"/>
      <c r="AD345" s="13"/>
      <c r="AE345" s="13"/>
      <c r="AF345" s="13"/>
      <c r="AG345" s="13"/>
      <c r="AH345" s="13"/>
      <c r="AI345" s="13"/>
      <c r="AJ345" s="78"/>
      <c r="AK345" s="44"/>
    </row>
    <row r="346" spans="1:38" ht="39" customHeight="1">
      <c r="A346" s="41">
        <v>342</v>
      </c>
      <c r="B346" s="10">
        <v>1110</v>
      </c>
      <c r="C346" s="10" t="s">
        <v>1038</v>
      </c>
      <c r="D346" s="16">
        <v>1059.82</v>
      </c>
      <c r="E346" s="20" t="s">
        <v>1039</v>
      </c>
      <c r="F346" s="20" t="s">
        <v>1040</v>
      </c>
      <c r="G346" s="12">
        <v>16</v>
      </c>
      <c r="H346" s="12">
        <v>64</v>
      </c>
      <c r="I346" s="16">
        <f>ROUND(G346,0)</f>
        <v>16</v>
      </c>
      <c r="J346" s="16">
        <f>ROUND(H346,0)</f>
        <v>64</v>
      </c>
      <c r="K346" s="18" t="str">
        <f>IF(I346=J346,"TAM",(CONCATENATE(G346,"/",H346)))</f>
        <v>16/64</v>
      </c>
      <c r="L346" s="29">
        <f>1059.82*16/64</f>
        <v>264.955</v>
      </c>
      <c r="M346" s="30">
        <v>0</v>
      </c>
      <c r="N346" s="16" t="str">
        <f>IF(M346=0,"0",(O346*M346))</f>
        <v>0</v>
      </c>
      <c r="O346" s="16">
        <f>IF(W346=1,L346,((D346*G346/H346)-P346)/(1-V346)-S346-T346)</f>
        <v>264.955</v>
      </c>
      <c r="P346" s="16">
        <v>0</v>
      </c>
      <c r="Q346" s="16">
        <f>IF(U346=0,"0",O346*U346)</f>
        <v>88.69433054491137</v>
      </c>
      <c r="R346" s="17">
        <f>IF(U346=0,(((D346*G346/H346)-P346-S346-T346)/(1-V346)),(((D346*G346/H346)-P346-S346-T346)/(1-V346))-((D346*G346/H346)-P346-S346-T346)*U346/(1-V346))</f>
        <v>176.26066945508862</v>
      </c>
      <c r="S346" s="12">
        <v>0</v>
      </c>
      <c r="T346" s="12">
        <v>0</v>
      </c>
      <c r="U346" s="12">
        <v>0.334752431714485</v>
      </c>
      <c r="V346" s="12">
        <v>0</v>
      </c>
      <c r="W346" s="28">
        <f>IF(V346&gt;U346,1,V346)</f>
        <v>0</v>
      </c>
      <c r="X346" s="12">
        <v>1</v>
      </c>
      <c r="Y346" s="16">
        <v>0</v>
      </c>
      <c r="Z346" s="42" t="str">
        <f>IF(OR(W346=1,W346=0),"0",(Q346-N346))</f>
        <v>0</v>
      </c>
      <c r="AA346" s="53" t="s">
        <v>1041</v>
      </c>
      <c r="AB346" s="16" t="s">
        <v>1042</v>
      </c>
      <c r="AC346" s="16">
        <v>28.13</v>
      </c>
      <c r="AD346" s="16">
        <v>787.1</v>
      </c>
      <c r="AE346" s="16">
        <f>ROUND(AC346*100,0)</f>
        <v>2813</v>
      </c>
      <c r="AF346" s="16">
        <f>ROUND(AD346*100,0)</f>
        <v>78710</v>
      </c>
      <c r="AG346" s="19" t="str">
        <f>IF(AC346=AD346,"TAM",(CONCATENATE(AE346,"/",AF346)))</f>
        <v>2813/78710</v>
      </c>
      <c r="AH346" s="11" t="s">
        <v>50</v>
      </c>
      <c r="AI346" s="21" t="s">
        <v>50</v>
      </c>
      <c r="AJ346" s="77" t="s">
        <v>2430</v>
      </c>
      <c r="AK346" s="54" t="s">
        <v>50</v>
      </c>
      <c r="AL346" s="1" t="s">
        <v>50</v>
      </c>
    </row>
    <row r="347" spans="1:37" ht="39" customHeight="1">
      <c r="A347" s="43"/>
      <c r="B347" s="13"/>
      <c r="C347" s="13"/>
      <c r="D347" s="31"/>
      <c r="E347" s="14" t="s">
        <v>50</v>
      </c>
      <c r="F347" s="14"/>
      <c r="G347" s="14"/>
      <c r="H347" s="14"/>
      <c r="I347" s="31"/>
      <c r="J347" s="31"/>
      <c r="K347" s="15"/>
      <c r="L347" s="15"/>
      <c r="M347" s="15"/>
      <c r="N347" s="15"/>
      <c r="O347" s="15"/>
      <c r="P347" s="14"/>
      <c r="Q347" s="14"/>
      <c r="R347" s="14"/>
      <c r="S347" s="14"/>
      <c r="T347" s="14"/>
      <c r="U347" s="14"/>
      <c r="V347" s="14"/>
      <c r="W347" s="14"/>
      <c r="X347" s="14"/>
      <c r="Y347" s="13"/>
      <c r="Z347" s="44"/>
      <c r="AA347" s="43"/>
      <c r="AB347" s="13"/>
      <c r="AC347" s="13"/>
      <c r="AD347" s="13"/>
      <c r="AE347" s="13"/>
      <c r="AF347" s="13"/>
      <c r="AG347" s="13"/>
      <c r="AH347" s="13"/>
      <c r="AI347" s="13"/>
      <c r="AJ347" s="78"/>
      <c r="AK347" s="44"/>
    </row>
    <row r="348" spans="1:38" ht="39" customHeight="1">
      <c r="A348" s="41">
        <v>353</v>
      </c>
      <c r="B348" s="10">
        <v>1110</v>
      </c>
      <c r="C348" s="10" t="s">
        <v>1043</v>
      </c>
      <c r="D348" s="16">
        <v>1059.82</v>
      </c>
      <c r="E348" s="20" t="s">
        <v>1044</v>
      </c>
      <c r="F348" s="20" t="s">
        <v>1045</v>
      </c>
      <c r="G348" s="12">
        <v>1</v>
      </c>
      <c r="H348" s="12">
        <v>12</v>
      </c>
      <c r="I348" s="16">
        <f>ROUND(G348,0)</f>
        <v>1</v>
      </c>
      <c r="J348" s="16">
        <f>ROUND(H348,0)</f>
        <v>12</v>
      </c>
      <c r="K348" s="18" t="str">
        <f>IF(I348=J348,"TAM",(CONCATENATE(G348,"/",H348)))</f>
        <v>1/12</v>
      </c>
      <c r="L348" s="29">
        <f>1059.82*1/12</f>
        <v>88.31833333333333</v>
      </c>
      <c r="M348" s="30">
        <v>0</v>
      </c>
      <c r="N348" s="16" t="str">
        <f>IF(M348=0,"0",(O348*M348))</f>
        <v>0</v>
      </c>
      <c r="O348" s="16">
        <f>IF(W348=1,L348,((D348*G348/H348)-P348)/(1-V348)-S348-T348)</f>
        <v>88.31833333333333</v>
      </c>
      <c r="P348" s="16">
        <v>0</v>
      </c>
      <c r="Q348" s="16">
        <f>IF(U348=0,"0",O348*U348)</f>
        <v>29.564776848303786</v>
      </c>
      <c r="R348" s="17">
        <f>IF(U348=0,(((D348*G348/H348)-P348-S348-T348)/(1-V348)),(((D348*G348/H348)-P348-S348-T348)/(1-V348))-((D348*G348/H348)-P348-S348-T348)*U348/(1-V348))</f>
        <v>58.75355648502954</v>
      </c>
      <c r="S348" s="12">
        <v>0</v>
      </c>
      <c r="T348" s="12">
        <v>0</v>
      </c>
      <c r="U348" s="12">
        <v>0.334752431714485</v>
      </c>
      <c r="V348" s="12">
        <v>0</v>
      </c>
      <c r="W348" s="28">
        <f>IF(V348&gt;U348,1,V348)</f>
        <v>0</v>
      </c>
      <c r="X348" s="12">
        <v>1</v>
      </c>
      <c r="Y348" s="16">
        <v>0</v>
      </c>
      <c r="Z348" s="42" t="str">
        <f>IF(OR(W348=1,W348=0),"0",(Q348-N348))</f>
        <v>0</v>
      </c>
      <c r="AA348" s="53" t="s">
        <v>1046</v>
      </c>
      <c r="AB348" s="16" t="s">
        <v>1047</v>
      </c>
      <c r="AC348" s="16">
        <v>9.37</v>
      </c>
      <c r="AD348" s="16">
        <v>787.1</v>
      </c>
      <c r="AE348" s="16">
        <f>ROUND(AC348*100,0)</f>
        <v>937</v>
      </c>
      <c r="AF348" s="16">
        <f>ROUND(AD348*100,0)</f>
        <v>78710</v>
      </c>
      <c r="AG348" s="19" t="str">
        <f>IF(AC348=AD348,"TAM",(CONCATENATE(AE348,"/",AF348)))</f>
        <v>937/78710</v>
      </c>
      <c r="AH348" s="11" t="s">
        <v>50</v>
      </c>
      <c r="AI348" s="21" t="s">
        <v>50</v>
      </c>
      <c r="AJ348" s="77" t="s">
        <v>2430</v>
      </c>
      <c r="AK348" s="54" t="s">
        <v>50</v>
      </c>
      <c r="AL348" s="1" t="s">
        <v>50</v>
      </c>
    </row>
    <row r="349" spans="1:37" ht="39" customHeight="1">
      <c r="A349" s="43"/>
      <c r="B349" s="13"/>
      <c r="C349" s="13"/>
      <c r="D349" s="31"/>
      <c r="E349" s="14" t="s">
        <v>50</v>
      </c>
      <c r="F349" s="14"/>
      <c r="G349" s="14"/>
      <c r="H349" s="14"/>
      <c r="I349" s="31"/>
      <c r="J349" s="31"/>
      <c r="K349" s="15"/>
      <c r="L349" s="15"/>
      <c r="M349" s="15"/>
      <c r="N349" s="15"/>
      <c r="O349" s="15"/>
      <c r="P349" s="14"/>
      <c r="Q349" s="14"/>
      <c r="R349" s="14"/>
      <c r="S349" s="14"/>
      <c r="T349" s="14"/>
      <c r="U349" s="14"/>
      <c r="V349" s="14"/>
      <c r="W349" s="14"/>
      <c r="X349" s="14"/>
      <c r="Y349" s="13"/>
      <c r="Z349" s="44"/>
      <c r="AA349" s="43"/>
      <c r="AB349" s="13"/>
      <c r="AC349" s="13"/>
      <c r="AD349" s="13"/>
      <c r="AE349" s="13"/>
      <c r="AF349" s="13"/>
      <c r="AG349" s="13"/>
      <c r="AH349" s="13"/>
      <c r="AI349" s="13"/>
      <c r="AJ349" s="78"/>
      <c r="AK349" s="44"/>
    </row>
    <row r="350" spans="1:38" ht="39" customHeight="1">
      <c r="A350" s="41">
        <v>351</v>
      </c>
      <c r="B350" s="10">
        <v>1110</v>
      </c>
      <c r="C350" s="10" t="s">
        <v>1048</v>
      </c>
      <c r="D350" s="16">
        <v>1059.82</v>
      </c>
      <c r="E350" s="20" t="s">
        <v>1049</v>
      </c>
      <c r="F350" s="20" t="s">
        <v>1050</v>
      </c>
      <c r="G350" s="12">
        <v>1</v>
      </c>
      <c r="H350" s="12">
        <v>12</v>
      </c>
      <c r="I350" s="16">
        <f>ROUND(G350,0)</f>
        <v>1</v>
      </c>
      <c r="J350" s="16">
        <f>ROUND(H350,0)</f>
        <v>12</v>
      </c>
      <c r="K350" s="18" t="str">
        <f>IF(I350=J350,"TAM",(CONCATENATE(G350,"/",H350)))</f>
        <v>1/12</v>
      </c>
      <c r="L350" s="29">
        <f>1059.82*1/12</f>
        <v>88.31833333333333</v>
      </c>
      <c r="M350" s="30">
        <v>0</v>
      </c>
      <c r="N350" s="16" t="str">
        <f>IF(M350=0,"0",(O350*M350))</f>
        <v>0</v>
      </c>
      <c r="O350" s="16">
        <f>IF(W350=1,L350,((D350*G350/H350)-P350)/(1-V350)-S350-T350)</f>
        <v>88.31833333333333</v>
      </c>
      <c r="P350" s="16">
        <v>0</v>
      </c>
      <c r="Q350" s="16">
        <f>IF(U350=0,"0",O350*U350)</f>
        <v>29.564776848303786</v>
      </c>
      <c r="R350" s="17">
        <f>IF(U350=0,(((D350*G350/H350)-P350-S350-T350)/(1-V350)),(((D350*G350/H350)-P350-S350-T350)/(1-V350))-((D350*G350/H350)-P350-S350-T350)*U350/(1-V350))</f>
        <v>58.75355648502954</v>
      </c>
      <c r="S350" s="12">
        <v>0</v>
      </c>
      <c r="T350" s="12">
        <v>0</v>
      </c>
      <c r="U350" s="12">
        <v>0.334752431714485</v>
      </c>
      <c r="V350" s="12">
        <v>0</v>
      </c>
      <c r="W350" s="28">
        <f>IF(V350&gt;U350,1,V350)</f>
        <v>0</v>
      </c>
      <c r="X350" s="12">
        <v>1</v>
      </c>
      <c r="Y350" s="16">
        <v>0</v>
      </c>
      <c r="Z350" s="42" t="str">
        <f>IF(OR(W350=1,W350=0),"0",(Q350-N350))</f>
        <v>0</v>
      </c>
      <c r="AA350" s="53" t="s">
        <v>1051</v>
      </c>
      <c r="AB350" s="16" t="s">
        <v>1052</v>
      </c>
      <c r="AC350" s="16">
        <v>9.38</v>
      </c>
      <c r="AD350" s="16">
        <v>787.1</v>
      </c>
      <c r="AE350" s="16">
        <f>ROUND(AC350*100,0)</f>
        <v>938</v>
      </c>
      <c r="AF350" s="16">
        <f>ROUND(AD350*100,0)</f>
        <v>78710</v>
      </c>
      <c r="AG350" s="19" t="str">
        <f>IF(AC350=AD350,"TAM",(CONCATENATE(AE350,"/",AF350)))</f>
        <v>938/78710</v>
      </c>
      <c r="AH350" s="11" t="s">
        <v>50</v>
      </c>
      <c r="AI350" s="21" t="s">
        <v>50</v>
      </c>
      <c r="AJ350" s="77" t="s">
        <v>2430</v>
      </c>
      <c r="AK350" s="54" t="s">
        <v>50</v>
      </c>
      <c r="AL350" s="1" t="s">
        <v>50</v>
      </c>
    </row>
    <row r="351" spans="1:37" ht="39" customHeight="1">
      <c r="A351" s="43"/>
      <c r="B351" s="13"/>
      <c r="C351" s="13"/>
      <c r="D351" s="31"/>
      <c r="E351" s="14" t="s">
        <v>50</v>
      </c>
      <c r="F351" s="14"/>
      <c r="G351" s="14"/>
      <c r="H351" s="14"/>
      <c r="I351" s="31"/>
      <c r="J351" s="31"/>
      <c r="K351" s="15"/>
      <c r="L351" s="15"/>
      <c r="M351" s="15"/>
      <c r="N351" s="15"/>
      <c r="O351" s="15"/>
      <c r="P351" s="14"/>
      <c r="Q351" s="14"/>
      <c r="R351" s="14"/>
      <c r="S351" s="14"/>
      <c r="T351" s="14"/>
      <c r="U351" s="14"/>
      <c r="V351" s="14"/>
      <c r="W351" s="14"/>
      <c r="X351" s="14"/>
      <c r="Y351" s="13"/>
      <c r="Z351" s="44"/>
      <c r="AA351" s="43"/>
      <c r="AB351" s="13"/>
      <c r="AC351" s="13"/>
      <c r="AD351" s="13"/>
      <c r="AE351" s="13"/>
      <c r="AF351" s="13"/>
      <c r="AG351" s="13"/>
      <c r="AH351" s="13"/>
      <c r="AI351" s="13"/>
      <c r="AJ351" s="78"/>
      <c r="AK351" s="44"/>
    </row>
    <row r="352" spans="1:38" ht="39" customHeight="1">
      <c r="A352" s="41">
        <v>343</v>
      </c>
      <c r="B352" s="10">
        <v>1110</v>
      </c>
      <c r="C352" s="10" t="s">
        <v>1053</v>
      </c>
      <c r="D352" s="16">
        <v>1059.82</v>
      </c>
      <c r="E352" s="20" t="s">
        <v>1054</v>
      </c>
      <c r="F352" s="20" t="s">
        <v>1055</v>
      </c>
      <c r="G352" s="12">
        <v>3</v>
      </c>
      <c r="H352" s="12">
        <v>64</v>
      </c>
      <c r="I352" s="16">
        <f>ROUND(G352,0)</f>
        <v>3</v>
      </c>
      <c r="J352" s="16">
        <f>ROUND(H352,0)</f>
        <v>64</v>
      </c>
      <c r="K352" s="18" t="str">
        <f>IF(I352=J352,"TAM",(CONCATENATE(G352,"/",H352)))</f>
        <v>3/64</v>
      </c>
      <c r="L352" s="29">
        <f>1059.82*3/64</f>
        <v>49.6790625</v>
      </c>
      <c r="M352" s="30">
        <v>0</v>
      </c>
      <c r="N352" s="16" t="str">
        <f>IF(M352=0,"0",(O352*M352))</f>
        <v>0</v>
      </c>
      <c r="O352" s="16">
        <f>IF(W352=1,L352,((D352*G352/H352)-P352)/(1-V352)-S352-T352)</f>
        <v>49.6790625</v>
      </c>
      <c r="P352" s="16">
        <v>0</v>
      </c>
      <c r="Q352" s="16">
        <f>IF(U352=0,"0",O352*U352)</f>
        <v>16.630186977170883</v>
      </c>
      <c r="R352" s="17">
        <f>IF(U352=0,(((D352*G352/H352)-P352-S352-T352)/(1-V352)),(((D352*G352/H352)-P352-S352-T352)/(1-V352))-((D352*G352/H352)-P352-S352-T352)*U352/(1-V352))</f>
        <v>33.04887552282912</v>
      </c>
      <c r="S352" s="12">
        <v>0</v>
      </c>
      <c r="T352" s="12">
        <v>0</v>
      </c>
      <c r="U352" s="12">
        <v>0.334752431714485</v>
      </c>
      <c r="V352" s="12">
        <v>0</v>
      </c>
      <c r="W352" s="28">
        <f>IF(V352&gt;U352,1,V352)</f>
        <v>0</v>
      </c>
      <c r="X352" s="12">
        <v>1</v>
      </c>
      <c r="Y352" s="16">
        <v>0</v>
      </c>
      <c r="Z352" s="42" t="str">
        <f>IF(OR(W352=1,W352=0),"0",(Q352-N352))</f>
        <v>0</v>
      </c>
      <c r="AA352" s="53" t="s">
        <v>1056</v>
      </c>
      <c r="AB352" s="16" t="s">
        <v>1057</v>
      </c>
      <c r="AC352" s="16">
        <v>5.28</v>
      </c>
      <c r="AD352" s="16">
        <v>787.1</v>
      </c>
      <c r="AE352" s="16">
        <f>ROUND(AC352*100,0)</f>
        <v>528</v>
      </c>
      <c r="AF352" s="16">
        <f>ROUND(AD352*100,0)</f>
        <v>78710</v>
      </c>
      <c r="AG352" s="19" t="str">
        <f>IF(AC352=AD352,"TAM",(CONCATENATE(AE352,"/",AF352)))</f>
        <v>528/78710</v>
      </c>
      <c r="AH352" s="11" t="s">
        <v>50</v>
      </c>
      <c r="AI352" s="21" t="s">
        <v>50</v>
      </c>
      <c r="AJ352" s="77" t="s">
        <v>2430</v>
      </c>
      <c r="AK352" s="54" t="s">
        <v>50</v>
      </c>
      <c r="AL352" s="1" t="s">
        <v>50</v>
      </c>
    </row>
    <row r="353" spans="1:37" ht="39" customHeight="1">
      <c r="A353" s="43"/>
      <c r="B353" s="13"/>
      <c r="C353" s="13"/>
      <c r="D353" s="31"/>
      <c r="E353" s="14" t="s">
        <v>50</v>
      </c>
      <c r="F353" s="14"/>
      <c r="G353" s="14"/>
      <c r="H353" s="14"/>
      <c r="I353" s="31"/>
      <c r="J353" s="31"/>
      <c r="K353" s="15"/>
      <c r="L353" s="15"/>
      <c r="M353" s="15"/>
      <c r="N353" s="15"/>
      <c r="O353" s="15"/>
      <c r="P353" s="14"/>
      <c r="Q353" s="14"/>
      <c r="R353" s="14"/>
      <c r="S353" s="14"/>
      <c r="T353" s="14"/>
      <c r="U353" s="14"/>
      <c r="V353" s="14"/>
      <c r="W353" s="14"/>
      <c r="X353" s="14"/>
      <c r="Y353" s="13"/>
      <c r="Z353" s="44"/>
      <c r="AA353" s="43"/>
      <c r="AB353" s="13"/>
      <c r="AC353" s="13"/>
      <c r="AD353" s="13"/>
      <c r="AE353" s="13"/>
      <c r="AF353" s="13"/>
      <c r="AG353" s="13"/>
      <c r="AH353" s="13"/>
      <c r="AI353" s="13"/>
      <c r="AJ353" s="78"/>
      <c r="AK353" s="44"/>
    </row>
    <row r="354" spans="1:38" ht="39" customHeight="1">
      <c r="A354" s="41">
        <v>354</v>
      </c>
      <c r="B354" s="10">
        <v>1110</v>
      </c>
      <c r="C354" s="10" t="s">
        <v>1058</v>
      </c>
      <c r="D354" s="16">
        <v>1059.82</v>
      </c>
      <c r="E354" s="20" t="s">
        <v>1059</v>
      </c>
      <c r="F354" s="20" t="s">
        <v>1060</v>
      </c>
      <c r="G354" s="12">
        <v>1</v>
      </c>
      <c r="H354" s="12">
        <v>16</v>
      </c>
      <c r="I354" s="16">
        <f>ROUND(G354,0)</f>
        <v>1</v>
      </c>
      <c r="J354" s="16">
        <f>ROUND(H354,0)</f>
        <v>16</v>
      </c>
      <c r="K354" s="18" t="str">
        <f>IF(I354=J354,"TAM",(CONCATENATE(G354,"/",H354)))</f>
        <v>1/16</v>
      </c>
      <c r="L354" s="29">
        <f>1059.82*1/16</f>
        <v>66.23875</v>
      </c>
      <c r="M354" s="30">
        <v>0</v>
      </c>
      <c r="N354" s="16" t="str">
        <f>IF(M354=0,"0",(O354*M354))</f>
        <v>0</v>
      </c>
      <c r="O354" s="16">
        <f>IF(W354=1,L354,((D354*G354/H354)-P354)/(1-V354)-S354-T354)</f>
        <v>66.23875</v>
      </c>
      <c r="P354" s="16">
        <v>0</v>
      </c>
      <c r="Q354" s="16">
        <f>IF(U354=0,"0",O354*U354)</f>
        <v>22.17358263622784</v>
      </c>
      <c r="R354" s="17">
        <f>IF(U354=0,(((D354*G354/H354)-P354-S354-T354)/(1-V354)),(((D354*G354/H354)-P354-S354-T354)/(1-V354))-((D354*G354/H354)-P354-S354-T354)*U354/(1-V354))</f>
        <v>44.065167363772154</v>
      </c>
      <c r="S354" s="12">
        <v>0</v>
      </c>
      <c r="T354" s="12">
        <v>0</v>
      </c>
      <c r="U354" s="12">
        <v>0.334752431714485</v>
      </c>
      <c r="V354" s="12">
        <v>0</v>
      </c>
      <c r="W354" s="28">
        <f>IF(V354&gt;U354,1,V354)</f>
        <v>0</v>
      </c>
      <c r="X354" s="12">
        <v>1</v>
      </c>
      <c r="Y354" s="16">
        <v>0</v>
      </c>
      <c r="Z354" s="42" t="str">
        <f>IF(OR(W354=1,W354=0),"0",(Q354-N354))</f>
        <v>0</v>
      </c>
      <c r="AA354" s="53" t="s">
        <v>1062</v>
      </c>
      <c r="AB354" s="16" t="s">
        <v>1063</v>
      </c>
      <c r="AC354" s="16">
        <v>7.02</v>
      </c>
      <c r="AD354" s="16">
        <v>787.1</v>
      </c>
      <c r="AE354" s="16">
        <f>ROUND(AC354*100,0)</f>
        <v>702</v>
      </c>
      <c r="AF354" s="16">
        <f>ROUND(AD354*100,0)</f>
        <v>78710</v>
      </c>
      <c r="AG354" s="19" t="str">
        <f>IF(AC354=AD354,"TAM",(CONCATENATE(AE354,"/",AF354)))</f>
        <v>702/78710</v>
      </c>
      <c r="AH354" s="11" t="s">
        <v>50</v>
      </c>
      <c r="AI354" s="21" t="s">
        <v>50</v>
      </c>
      <c r="AJ354" s="77" t="s">
        <v>2430</v>
      </c>
      <c r="AK354" s="54" t="s">
        <v>50</v>
      </c>
      <c r="AL354" s="1" t="s">
        <v>50</v>
      </c>
    </row>
    <row r="355" spans="1:37" ht="39" customHeight="1">
      <c r="A355" s="43"/>
      <c r="B355" s="13"/>
      <c r="C355" s="13"/>
      <c r="D355" s="31"/>
      <c r="E355" s="34" t="s">
        <v>1061</v>
      </c>
      <c r="F355" s="14"/>
      <c r="G355" s="14"/>
      <c r="H355" s="14"/>
      <c r="I355" s="31"/>
      <c r="J355" s="31"/>
      <c r="K355" s="15"/>
      <c r="L355" s="15"/>
      <c r="M355" s="15"/>
      <c r="N355" s="15"/>
      <c r="O355" s="15"/>
      <c r="P355" s="14"/>
      <c r="Q355" s="14"/>
      <c r="R355" s="14"/>
      <c r="S355" s="14"/>
      <c r="T355" s="14"/>
      <c r="U355" s="14"/>
      <c r="V355" s="14"/>
      <c r="W355" s="14"/>
      <c r="X355" s="14"/>
      <c r="Y355" s="13"/>
      <c r="Z355" s="44"/>
      <c r="AA355" s="43"/>
      <c r="AB355" s="13"/>
      <c r="AC355" s="13"/>
      <c r="AD355" s="13"/>
      <c r="AE355" s="13"/>
      <c r="AF355" s="13"/>
      <c r="AG355" s="13"/>
      <c r="AH355" s="13"/>
      <c r="AI355" s="13"/>
      <c r="AJ355" s="78"/>
      <c r="AK355" s="44"/>
    </row>
    <row r="356" spans="1:38" ht="39" customHeight="1">
      <c r="A356" s="41">
        <v>346</v>
      </c>
      <c r="B356" s="10">
        <v>1110</v>
      </c>
      <c r="C356" s="10" t="s">
        <v>1064</v>
      </c>
      <c r="D356" s="16">
        <v>1059.82</v>
      </c>
      <c r="E356" s="20" t="s">
        <v>1065</v>
      </c>
      <c r="F356" s="20" t="s">
        <v>1066</v>
      </c>
      <c r="G356" s="12">
        <v>3</v>
      </c>
      <c r="H356" s="12">
        <v>64</v>
      </c>
      <c r="I356" s="16">
        <f>ROUND(G356,0)</f>
        <v>3</v>
      </c>
      <c r="J356" s="16">
        <f>ROUND(H356,0)</f>
        <v>64</v>
      </c>
      <c r="K356" s="18" t="str">
        <f>IF(I356=J356,"TAM",(CONCATENATE(G356,"/",H356)))</f>
        <v>3/64</v>
      </c>
      <c r="L356" s="29">
        <f>1059.82*3/64</f>
        <v>49.6790625</v>
      </c>
      <c r="M356" s="30">
        <v>0</v>
      </c>
      <c r="N356" s="16" t="str">
        <f>IF(M356=0,"0",(O356*M356))</f>
        <v>0</v>
      </c>
      <c r="O356" s="16">
        <f>IF(W356=1,L356,((D356*G356/H356)-P356)/(1-V356)-S356-T356)</f>
        <v>49.6790625</v>
      </c>
      <c r="P356" s="16">
        <v>0</v>
      </c>
      <c r="Q356" s="16">
        <f>IF(U356=0,"0",O356*U356)</f>
        <v>16.630186977170883</v>
      </c>
      <c r="R356" s="17">
        <f>IF(U356=0,(((D356*G356/H356)-P356-S356-T356)/(1-V356)),(((D356*G356/H356)-P356-S356-T356)/(1-V356))-((D356*G356/H356)-P356-S356-T356)*U356/(1-V356))</f>
        <v>33.04887552282912</v>
      </c>
      <c r="S356" s="12">
        <v>0</v>
      </c>
      <c r="T356" s="12">
        <v>0</v>
      </c>
      <c r="U356" s="12">
        <v>0.334752431714485</v>
      </c>
      <c r="V356" s="12">
        <v>0</v>
      </c>
      <c r="W356" s="28">
        <f>IF(V356&gt;U356,1,V356)</f>
        <v>0</v>
      </c>
      <c r="X356" s="12">
        <v>1</v>
      </c>
      <c r="Y356" s="16">
        <v>0</v>
      </c>
      <c r="Z356" s="42" t="str">
        <f>IF(OR(W356=1,W356=0),"0",(Q356-N356))</f>
        <v>0</v>
      </c>
      <c r="AA356" s="53" t="s">
        <v>1067</v>
      </c>
      <c r="AB356" s="16" t="s">
        <v>1068</v>
      </c>
      <c r="AC356" s="16">
        <v>5.28</v>
      </c>
      <c r="AD356" s="16">
        <v>787.1</v>
      </c>
      <c r="AE356" s="16">
        <f>ROUND(AC356*100,0)</f>
        <v>528</v>
      </c>
      <c r="AF356" s="16">
        <f>ROUND(AD356*100,0)</f>
        <v>78710</v>
      </c>
      <c r="AG356" s="19" t="str">
        <f>IF(AC356=AD356,"TAM",(CONCATENATE(AE356,"/",AF356)))</f>
        <v>528/78710</v>
      </c>
      <c r="AH356" s="11" t="s">
        <v>50</v>
      </c>
      <c r="AI356" s="21" t="s">
        <v>50</v>
      </c>
      <c r="AJ356" s="77" t="s">
        <v>2430</v>
      </c>
      <c r="AK356" s="54" t="s">
        <v>50</v>
      </c>
      <c r="AL356" s="1" t="s">
        <v>50</v>
      </c>
    </row>
    <row r="357" spans="1:37" ht="39" customHeight="1">
      <c r="A357" s="43"/>
      <c r="B357" s="13"/>
      <c r="C357" s="13"/>
      <c r="D357" s="31"/>
      <c r="E357" s="14" t="s">
        <v>50</v>
      </c>
      <c r="F357" s="14"/>
      <c r="G357" s="14"/>
      <c r="H357" s="14"/>
      <c r="I357" s="31"/>
      <c r="J357" s="31"/>
      <c r="K357" s="15"/>
      <c r="L357" s="15"/>
      <c r="M357" s="15"/>
      <c r="N357" s="15"/>
      <c r="O357" s="15"/>
      <c r="P357" s="14"/>
      <c r="Q357" s="14"/>
      <c r="R357" s="14"/>
      <c r="S357" s="14"/>
      <c r="T357" s="14"/>
      <c r="U357" s="14"/>
      <c r="V357" s="14"/>
      <c r="W357" s="14"/>
      <c r="X357" s="14"/>
      <c r="Y357" s="13"/>
      <c r="Z357" s="44"/>
      <c r="AA357" s="43"/>
      <c r="AB357" s="13"/>
      <c r="AC357" s="13"/>
      <c r="AD357" s="13"/>
      <c r="AE357" s="13"/>
      <c r="AF357" s="13"/>
      <c r="AG357" s="13"/>
      <c r="AH357" s="13"/>
      <c r="AI357" s="13"/>
      <c r="AJ357" s="78"/>
      <c r="AK357" s="44"/>
    </row>
    <row r="358" spans="1:38" ht="12.75" customHeight="1">
      <c r="A358" s="41">
        <v>29</v>
      </c>
      <c r="B358" s="10">
        <v>993</v>
      </c>
      <c r="C358" s="10" t="s">
        <v>1069</v>
      </c>
      <c r="D358" s="16">
        <v>201.98</v>
      </c>
      <c r="E358" s="20" t="s">
        <v>1070</v>
      </c>
      <c r="F358" s="20" t="s">
        <v>1071</v>
      </c>
      <c r="G358" s="12">
        <v>1</v>
      </c>
      <c r="H358" s="12">
        <v>1</v>
      </c>
      <c r="I358" s="16">
        <f>ROUND(G358,0)</f>
        <v>1</v>
      </c>
      <c r="J358" s="16">
        <f>ROUND(H358,0)</f>
        <v>1</v>
      </c>
      <c r="K358" s="18" t="str">
        <f>IF(I358=J358,"TAM",(CONCATENATE(G358,"/",H358)))</f>
        <v>TAM</v>
      </c>
      <c r="L358" s="29">
        <f>201.98*1/1</f>
        <v>201.98</v>
      </c>
      <c r="M358" s="30">
        <v>0</v>
      </c>
      <c r="N358" s="16" t="str">
        <f>IF(M358=0,"0",(O358*M358))</f>
        <v>0</v>
      </c>
      <c r="O358" s="16">
        <f>IF(W358=1,L358,((D358*G358/H358)-P358)/(1-V358)-S358-T358)</f>
        <v>201.98</v>
      </c>
      <c r="P358" s="16">
        <v>0</v>
      </c>
      <c r="Q358" s="16">
        <f>IF(U358=0,"0",O358*U358)</f>
        <v>67.61329615769168</v>
      </c>
      <c r="R358" s="17">
        <f>IF(U358=0,(((D358*G358/H358)-P358-S358-T358)/(1-V358)),(((D358*G358/H358)-P358-S358-T358)/(1-V358))-((D358*G358/H358)-P358-S358-T358)*U358/(1-V358))</f>
        <v>134.3667038423083</v>
      </c>
      <c r="S358" s="12">
        <v>0</v>
      </c>
      <c r="T358" s="12">
        <v>0</v>
      </c>
      <c r="U358" s="12">
        <v>0.334752431714485</v>
      </c>
      <c r="V358" s="12">
        <v>0</v>
      </c>
      <c r="W358" s="28">
        <f>IF(V358&gt;U358,1,V358)</f>
        <v>0</v>
      </c>
      <c r="X358" s="12">
        <v>1</v>
      </c>
      <c r="Y358" s="16">
        <v>0</v>
      </c>
      <c r="Z358" s="42" t="str">
        <f>IF(OR(W358=1,W358=0),"0",(Q358-N358))</f>
        <v>0</v>
      </c>
      <c r="AA358" s="53" t="s">
        <v>1072</v>
      </c>
      <c r="AB358" s="16" t="s">
        <v>1074</v>
      </c>
      <c r="AC358" s="16">
        <v>134.37</v>
      </c>
      <c r="AD358" s="16">
        <v>799.89</v>
      </c>
      <c r="AE358" s="16">
        <f>ROUND(AC358*100,0)</f>
        <v>13437</v>
      </c>
      <c r="AF358" s="16">
        <f>ROUND(AD358*100,0)</f>
        <v>79989</v>
      </c>
      <c r="AG358" s="19" t="str">
        <f>IF(AC358=AD358,"TAM",(CONCATENATE(AE358,"/",AF358)))</f>
        <v>13437/79989</v>
      </c>
      <c r="AH358" s="11" t="s">
        <v>50</v>
      </c>
      <c r="AI358" s="21" t="s">
        <v>50</v>
      </c>
      <c r="AJ358" s="21" t="s">
        <v>1073</v>
      </c>
      <c r="AK358" s="54" t="s">
        <v>50</v>
      </c>
      <c r="AL358" s="1" t="s">
        <v>50</v>
      </c>
    </row>
    <row r="359" spans="1:37" ht="12.75" customHeight="1">
      <c r="A359" s="43"/>
      <c r="B359" s="13"/>
      <c r="C359" s="13"/>
      <c r="D359" s="31"/>
      <c r="E359" s="14" t="s">
        <v>50</v>
      </c>
      <c r="F359" s="14"/>
      <c r="G359" s="14"/>
      <c r="H359" s="14"/>
      <c r="I359" s="31"/>
      <c r="J359" s="31"/>
      <c r="K359" s="15"/>
      <c r="L359" s="15"/>
      <c r="M359" s="15"/>
      <c r="N359" s="15"/>
      <c r="O359" s="15"/>
      <c r="P359" s="14"/>
      <c r="Q359" s="14"/>
      <c r="R359" s="14"/>
      <c r="S359" s="14"/>
      <c r="T359" s="14"/>
      <c r="U359" s="14"/>
      <c r="V359" s="14"/>
      <c r="W359" s="14"/>
      <c r="X359" s="14"/>
      <c r="Y359" s="13"/>
      <c r="Z359" s="44"/>
      <c r="AA359" s="43"/>
      <c r="AB359" s="13"/>
      <c r="AC359" s="13"/>
      <c r="AD359" s="13"/>
      <c r="AE359" s="13"/>
      <c r="AF359" s="13"/>
      <c r="AG359" s="13"/>
      <c r="AH359" s="13"/>
      <c r="AI359" s="13"/>
      <c r="AJ359" s="13"/>
      <c r="AK359" s="44"/>
    </row>
    <row r="360" spans="1:38" ht="12.75" customHeight="1">
      <c r="A360" s="41">
        <v>34</v>
      </c>
      <c r="B360" s="10">
        <v>995</v>
      </c>
      <c r="C360" s="10" t="s">
        <v>1075</v>
      </c>
      <c r="D360" s="16">
        <v>1357.42</v>
      </c>
      <c r="E360" s="20" t="s">
        <v>1076</v>
      </c>
      <c r="F360" s="20" t="s">
        <v>1077</v>
      </c>
      <c r="G360" s="12">
        <v>1</v>
      </c>
      <c r="H360" s="12">
        <v>3</v>
      </c>
      <c r="I360" s="16">
        <f>ROUND(G360,0)</f>
        <v>1</v>
      </c>
      <c r="J360" s="16">
        <f>ROUND(H360,0)</f>
        <v>3</v>
      </c>
      <c r="K360" s="18" t="str">
        <f>IF(I360=J360,"TAM",(CONCATENATE(G360,"/",H360)))</f>
        <v>1/3</v>
      </c>
      <c r="L360" s="29">
        <f>1357.42*1/3</f>
        <v>452.47333333333336</v>
      </c>
      <c r="M360" s="30">
        <v>0</v>
      </c>
      <c r="N360" s="16" t="str">
        <f>IF(M360=0,"0",(O360*M360))</f>
        <v>0</v>
      </c>
      <c r="O360" s="16">
        <f>IF(W360=1,L360,((D360*G360/H360)-P360)/(1-V360)-S360-T360)</f>
        <v>452.47333333333336</v>
      </c>
      <c r="P360" s="16">
        <v>0</v>
      </c>
      <c r="Q360" s="16">
        <f>IF(U360=0,"0",O360*U360)</f>
        <v>151.46654861929207</v>
      </c>
      <c r="R360" s="17">
        <f>IF(U360=0,(((D360*G360/H360)-P360-S360-T360)/(1-V360)),(((D360*G360/H360)-P360-S360-T360)/(1-V360))-((D360*G360/H360)-P360-S360-T360)*U360/(1-V360))</f>
        <v>301.00678471404126</v>
      </c>
      <c r="S360" s="12">
        <v>0</v>
      </c>
      <c r="T360" s="12">
        <v>0</v>
      </c>
      <c r="U360" s="12">
        <v>0.334752431714485</v>
      </c>
      <c r="V360" s="12">
        <v>0</v>
      </c>
      <c r="W360" s="28">
        <f>IF(V360&gt;U360,1,V360)</f>
        <v>0</v>
      </c>
      <c r="X360" s="12">
        <v>1</v>
      </c>
      <c r="Y360" s="16">
        <v>0</v>
      </c>
      <c r="Z360" s="42" t="str">
        <f>IF(OR(W360=1,W360=0),"0",(Q360-N360))</f>
        <v>0</v>
      </c>
      <c r="AA360" s="53" t="s">
        <v>1078</v>
      </c>
      <c r="AB360" s="16" t="s">
        <v>1080</v>
      </c>
      <c r="AC360" s="16">
        <v>221.84</v>
      </c>
      <c r="AD360" s="16">
        <v>799.89</v>
      </c>
      <c r="AE360" s="16">
        <f>ROUND(AC360*100,0)</f>
        <v>22184</v>
      </c>
      <c r="AF360" s="16">
        <f>ROUND(AD360*100,0)</f>
        <v>79989</v>
      </c>
      <c r="AG360" s="19" t="str">
        <f>IF(AC360=AD360,"TAM",(CONCATENATE(AE360,"/",AF360)))</f>
        <v>22184/79989</v>
      </c>
      <c r="AH360" s="11" t="s">
        <v>50</v>
      </c>
      <c r="AI360" s="21" t="s">
        <v>50</v>
      </c>
      <c r="AJ360" s="21" t="s">
        <v>1079</v>
      </c>
      <c r="AK360" s="54" t="s">
        <v>50</v>
      </c>
      <c r="AL360" s="1" t="s">
        <v>50</v>
      </c>
    </row>
    <row r="361" spans="1:37" ht="12.75" customHeight="1">
      <c r="A361" s="43"/>
      <c r="B361" s="13"/>
      <c r="C361" s="13"/>
      <c r="D361" s="31"/>
      <c r="E361" s="14" t="s">
        <v>50</v>
      </c>
      <c r="F361" s="14"/>
      <c r="G361" s="14"/>
      <c r="H361" s="14"/>
      <c r="I361" s="31"/>
      <c r="J361" s="31"/>
      <c r="K361" s="15"/>
      <c r="L361" s="15"/>
      <c r="M361" s="15"/>
      <c r="N361" s="15"/>
      <c r="O361" s="15"/>
      <c r="P361" s="14"/>
      <c r="Q361" s="14"/>
      <c r="R361" s="14"/>
      <c r="S361" s="14"/>
      <c r="T361" s="14"/>
      <c r="U361" s="14"/>
      <c r="V361" s="14"/>
      <c r="W361" s="14"/>
      <c r="X361" s="14"/>
      <c r="Y361" s="13"/>
      <c r="Z361" s="44"/>
      <c r="AA361" s="43"/>
      <c r="AB361" s="13"/>
      <c r="AC361" s="13"/>
      <c r="AD361" s="13"/>
      <c r="AE361" s="13"/>
      <c r="AF361" s="13"/>
      <c r="AG361" s="13"/>
      <c r="AH361" s="13"/>
      <c r="AI361" s="13"/>
      <c r="AJ361" s="13"/>
      <c r="AK361" s="44"/>
    </row>
    <row r="362" spans="1:38" ht="12.75" customHeight="1">
      <c r="A362" s="41">
        <v>32</v>
      </c>
      <c r="B362" s="10">
        <v>995</v>
      </c>
      <c r="C362" s="10" t="s">
        <v>1081</v>
      </c>
      <c r="D362" s="16">
        <v>1357.42</v>
      </c>
      <c r="E362" s="20" t="s">
        <v>1082</v>
      </c>
      <c r="F362" s="20" t="s">
        <v>1083</v>
      </c>
      <c r="G362" s="12">
        <v>1</v>
      </c>
      <c r="H362" s="12">
        <v>3</v>
      </c>
      <c r="I362" s="16">
        <f>ROUND(G362,0)</f>
        <v>1</v>
      </c>
      <c r="J362" s="16">
        <f>ROUND(H362,0)</f>
        <v>3</v>
      </c>
      <c r="K362" s="18" t="str">
        <f>IF(I362=J362,"TAM",(CONCATENATE(G362,"/",H362)))</f>
        <v>1/3</v>
      </c>
      <c r="L362" s="29">
        <f>1357.42*1/3</f>
        <v>452.47333333333336</v>
      </c>
      <c r="M362" s="30">
        <v>0</v>
      </c>
      <c r="N362" s="16" t="str">
        <f>IF(M362=0,"0",(O362*M362))</f>
        <v>0</v>
      </c>
      <c r="O362" s="16">
        <f>IF(W362=1,L362,((D362*G362/H362)-P362)/(1-V362)-S362-T362)</f>
        <v>452.47333333333336</v>
      </c>
      <c r="P362" s="16">
        <v>0</v>
      </c>
      <c r="Q362" s="16">
        <f>IF(U362=0,"0",O362*U362)</f>
        <v>151.46654861929207</v>
      </c>
      <c r="R362" s="17">
        <f>IF(U362=0,(((D362*G362/H362)-P362-S362-T362)/(1-V362)),(((D362*G362/H362)-P362-S362-T362)/(1-V362))-((D362*G362/H362)-P362-S362-T362)*U362/(1-V362))</f>
        <v>301.00678471404126</v>
      </c>
      <c r="S362" s="12">
        <v>0</v>
      </c>
      <c r="T362" s="12">
        <v>0</v>
      </c>
      <c r="U362" s="12">
        <v>0.334752431714485</v>
      </c>
      <c r="V362" s="12">
        <v>0</v>
      </c>
      <c r="W362" s="28">
        <f>IF(V362&gt;U362,1,V362)</f>
        <v>0</v>
      </c>
      <c r="X362" s="12">
        <v>1</v>
      </c>
      <c r="Y362" s="16">
        <v>0</v>
      </c>
      <c r="Z362" s="42" t="str">
        <f>IF(OR(W362=1,W362=0),"0",(Q362-N362))</f>
        <v>0</v>
      </c>
      <c r="AA362" s="53" t="s">
        <v>1084</v>
      </c>
      <c r="AB362" s="16" t="s">
        <v>1086</v>
      </c>
      <c r="AC362" s="16">
        <v>221.84</v>
      </c>
      <c r="AD362" s="16">
        <v>799.89</v>
      </c>
      <c r="AE362" s="16">
        <f>ROUND(AC362*100,0)</f>
        <v>22184</v>
      </c>
      <c r="AF362" s="16">
        <f>ROUND(AD362*100,0)</f>
        <v>79989</v>
      </c>
      <c r="AG362" s="19" t="str">
        <f>IF(AC362=AD362,"TAM",(CONCATENATE(AE362,"/",AF362)))</f>
        <v>22184/79989</v>
      </c>
      <c r="AH362" s="11" t="s">
        <v>50</v>
      </c>
      <c r="AI362" s="21" t="s">
        <v>50</v>
      </c>
      <c r="AJ362" s="21" t="s">
        <v>1085</v>
      </c>
      <c r="AK362" s="54" t="s">
        <v>50</v>
      </c>
      <c r="AL362" s="1" t="s">
        <v>50</v>
      </c>
    </row>
    <row r="363" spans="1:37" ht="12.75" customHeight="1">
      <c r="A363" s="43"/>
      <c r="B363" s="13"/>
      <c r="C363" s="13"/>
      <c r="D363" s="31"/>
      <c r="E363" s="14" t="s">
        <v>50</v>
      </c>
      <c r="F363" s="14"/>
      <c r="G363" s="14"/>
      <c r="H363" s="14"/>
      <c r="I363" s="31"/>
      <c r="J363" s="31"/>
      <c r="K363" s="15"/>
      <c r="L363" s="15"/>
      <c r="M363" s="15"/>
      <c r="N363" s="15"/>
      <c r="O363" s="15"/>
      <c r="P363" s="14"/>
      <c r="Q363" s="14"/>
      <c r="R363" s="14"/>
      <c r="S363" s="14"/>
      <c r="T363" s="14"/>
      <c r="U363" s="14"/>
      <c r="V363" s="14"/>
      <c r="W363" s="14"/>
      <c r="X363" s="14"/>
      <c r="Y363" s="13"/>
      <c r="Z363" s="44"/>
      <c r="AA363" s="43"/>
      <c r="AB363" s="13"/>
      <c r="AC363" s="13"/>
      <c r="AD363" s="13"/>
      <c r="AE363" s="13"/>
      <c r="AF363" s="13"/>
      <c r="AG363" s="13"/>
      <c r="AH363" s="13"/>
      <c r="AI363" s="13"/>
      <c r="AJ363" s="13"/>
      <c r="AK363" s="44"/>
    </row>
    <row r="364" spans="1:38" ht="12.75" customHeight="1">
      <c r="A364" s="41">
        <v>33</v>
      </c>
      <c r="B364" s="10">
        <v>995</v>
      </c>
      <c r="C364" s="10" t="s">
        <v>1087</v>
      </c>
      <c r="D364" s="16">
        <v>1357.42</v>
      </c>
      <c r="E364" s="20" t="s">
        <v>1088</v>
      </c>
      <c r="F364" s="20" t="s">
        <v>1089</v>
      </c>
      <c r="G364" s="12">
        <v>1</v>
      </c>
      <c r="H364" s="12">
        <v>3</v>
      </c>
      <c r="I364" s="16">
        <f>ROUND(G364,0)</f>
        <v>1</v>
      </c>
      <c r="J364" s="16">
        <f>ROUND(H364,0)</f>
        <v>3</v>
      </c>
      <c r="K364" s="18" t="str">
        <f>IF(I364=J364,"TAM",(CONCATENATE(G364,"/",H364)))</f>
        <v>1/3</v>
      </c>
      <c r="L364" s="29">
        <f>1357.42*1/3</f>
        <v>452.47333333333336</v>
      </c>
      <c r="M364" s="30">
        <v>0</v>
      </c>
      <c r="N364" s="16" t="str">
        <f>IF(M364=0,"0",(O364*M364))</f>
        <v>0</v>
      </c>
      <c r="O364" s="16">
        <f>IF(W364=1,L364,((D364*G364/H364)-P364)/(1-V364)-S364-T364)</f>
        <v>452.47333333333336</v>
      </c>
      <c r="P364" s="16">
        <v>0</v>
      </c>
      <c r="Q364" s="16">
        <f>IF(U364=0,"0",O364*U364)</f>
        <v>151.46654861929207</v>
      </c>
      <c r="R364" s="17">
        <f>IF(U364=0,(((D364*G364/H364)-P364-S364-T364)/(1-V364)),(((D364*G364/H364)-P364-S364-T364)/(1-V364))-((D364*G364/H364)-P364-S364-T364)*U364/(1-V364))</f>
        <v>301.00678471404126</v>
      </c>
      <c r="S364" s="12">
        <v>0</v>
      </c>
      <c r="T364" s="12">
        <v>0</v>
      </c>
      <c r="U364" s="12">
        <v>0.334752431714485</v>
      </c>
      <c r="V364" s="12">
        <v>0</v>
      </c>
      <c r="W364" s="28">
        <f>IF(V364&gt;U364,1,V364)</f>
        <v>0</v>
      </c>
      <c r="X364" s="12">
        <v>1</v>
      </c>
      <c r="Y364" s="16">
        <v>0</v>
      </c>
      <c r="Z364" s="42" t="str">
        <f>IF(OR(W364=1,W364=0),"0",(Q364-N364))</f>
        <v>0</v>
      </c>
      <c r="AA364" s="53" t="s">
        <v>1090</v>
      </c>
      <c r="AB364" s="16" t="s">
        <v>1092</v>
      </c>
      <c r="AC364" s="16">
        <v>221.84</v>
      </c>
      <c r="AD364" s="16">
        <v>799.89</v>
      </c>
      <c r="AE364" s="16">
        <f>ROUND(AC364*100,0)</f>
        <v>22184</v>
      </c>
      <c r="AF364" s="16">
        <f>ROUND(AD364*100,0)</f>
        <v>79989</v>
      </c>
      <c r="AG364" s="19" t="str">
        <f>IF(AC364=AD364,"TAM",(CONCATENATE(AE364,"/",AF364)))</f>
        <v>22184/79989</v>
      </c>
      <c r="AH364" s="11" t="s">
        <v>50</v>
      </c>
      <c r="AI364" s="21" t="s">
        <v>50</v>
      </c>
      <c r="AJ364" s="21" t="s">
        <v>1091</v>
      </c>
      <c r="AK364" s="54" t="s">
        <v>50</v>
      </c>
      <c r="AL364" s="1" t="s">
        <v>50</v>
      </c>
    </row>
    <row r="365" spans="1:37" ht="12.75" customHeight="1">
      <c r="A365" s="43"/>
      <c r="B365" s="13"/>
      <c r="C365" s="13"/>
      <c r="D365" s="31"/>
      <c r="E365" s="14" t="s">
        <v>50</v>
      </c>
      <c r="F365" s="14"/>
      <c r="G365" s="14"/>
      <c r="H365" s="14"/>
      <c r="I365" s="31"/>
      <c r="J365" s="31"/>
      <c r="K365" s="15"/>
      <c r="L365" s="15"/>
      <c r="M365" s="15"/>
      <c r="N365" s="15"/>
      <c r="O365" s="15"/>
      <c r="P365" s="14"/>
      <c r="Q365" s="14"/>
      <c r="R365" s="14"/>
      <c r="S365" s="14"/>
      <c r="T365" s="14"/>
      <c r="U365" s="14"/>
      <c r="V365" s="14"/>
      <c r="W365" s="14"/>
      <c r="X365" s="14"/>
      <c r="Y365" s="13"/>
      <c r="Z365" s="44"/>
      <c r="AA365" s="43"/>
      <c r="AB365" s="13"/>
      <c r="AC365" s="13"/>
      <c r="AD365" s="13"/>
      <c r="AE365" s="13"/>
      <c r="AF365" s="13"/>
      <c r="AG365" s="13"/>
      <c r="AH365" s="13"/>
      <c r="AI365" s="13"/>
      <c r="AJ365" s="13"/>
      <c r="AK365" s="44"/>
    </row>
    <row r="366" spans="1:38" ht="12.75" customHeight="1">
      <c r="A366" s="41">
        <v>31</v>
      </c>
      <c r="B366" s="10">
        <v>994</v>
      </c>
      <c r="C366" s="10" t="s">
        <v>1093</v>
      </c>
      <c r="D366" s="16">
        <v>228.78</v>
      </c>
      <c r="E366" s="20" t="s">
        <v>1094</v>
      </c>
      <c r="F366" s="20" t="s">
        <v>1095</v>
      </c>
      <c r="G366" s="12">
        <v>1</v>
      </c>
      <c r="H366" s="12">
        <v>1</v>
      </c>
      <c r="I366" s="16">
        <f>ROUND(G366,0)</f>
        <v>1</v>
      </c>
      <c r="J366" s="16">
        <f>ROUND(H366,0)</f>
        <v>1</v>
      </c>
      <c r="K366" s="18" t="str">
        <f>IF(I366=J366,"TAM",(CONCATENATE(G366,"/",H366)))</f>
        <v>TAM</v>
      </c>
      <c r="L366" s="29">
        <f>228.78*1/1</f>
        <v>228.78</v>
      </c>
      <c r="M366" s="30">
        <v>0</v>
      </c>
      <c r="N366" s="16" t="str">
        <f>IF(M366=0,"0",(O366*M366))</f>
        <v>0</v>
      </c>
      <c r="O366" s="16">
        <f>IF(W366=1,L366,((D366*G366/H366)-P366)/(1-V366)-S366-T366)</f>
        <v>228.78</v>
      </c>
      <c r="P366" s="16">
        <v>0</v>
      </c>
      <c r="Q366" s="16">
        <f>IF(U366=0,"0",O366*U366)</f>
        <v>76.58466132763988</v>
      </c>
      <c r="R366" s="17">
        <f>IF(U366=0,(((D366*G366/H366)-P366-S366-T366)/(1-V366)),(((D366*G366/H366)-P366-S366-T366)/(1-V366))-((D366*G366/H366)-P366-S366-T366)*U366/(1-V366))</f>
        <v>152.19533867236012</v>
      </c>
      <c r="S366" s="12">
        <v>0</v>
      </c>
      <c r="T366" s="12">
        <v>0</v>
      </c>
      <c r="U366" s="12">
        <v>0.334752431714485</v>
      </c>
      <c r="V366" s="12">
        <v>0</v>
      </c>
      <c r="W366" s="28">
        <f>IF(V366&gt;U366,1,V366)</f>
        <v>0</v>
      </c>
      <c r="X366" s="12">
        <v>1</v>
      </c>
      <c r="Y366" s="16">
        <v>0</v>
      </c>
      <c r="Z366" s="42" t="str">
        <f>IF(OR(W366=1,W366=0),"0",(Q366-N366))</f>
        <v>0</v>
      </c>
      <c r="AA366" s="53" t="s">
        <v>1096</v>
      </c>
      <c r="AB366" s="16" t="s">
        <v>1098</v>
      </c>
      <c r="AC366" s="16">
        <v>152.2</v>
      </c>
      <c r="AD366" s="16">
        <v>2221.85</v>
      </c>
      <c r="AE366" s="16">
        <f>ROUND(AC366*100,0)</f>
        <v>15220</v>
      </c>
      <c r="AF366" s="16">
        <f>ROUND(AD366*100,0)</f>
        <v>222185</v>
      </c>
      <c r="AG366" s="19" t="str">
        <f>IF(AC366=AD366,"TAM",(CONCATENATE(AE366,"/",AF366)))</f>
        <v>15220/222185</v>
      </c>
      <c r="AH366" s="11" t="s">
        <v>50</v>
      </c>
      <c r="AI366" s="21" t="s">
        <v>50</v>
      </c>
      <c r="AJ366" s="21" t="s">
        <v>1097</v>
      </c>
      <c r="AK366" s="54" t="s">
        <v>50</v>
      </c>
      <c r="AL366" s="1" t="s">
        <v>50</v>
      </c>
    </row>
    <row r="367" spans="1:37" ht="12.75" customHeight="1">
      <c r="A367" s="43"/>
      <c r="B367" s="13"/>
      <c r="C367" s="13"/>
      <c r="D367" s="31"/>
      <c r="E367" s="14" t="s">
        <v>50</v>
      </c>
      <c r="F367" s="14"/>
      <c r="G367" s="14"/>
      <c r="H367" s="14"/>
      <c r="I367" s="31"/>
      <c r="J367" s="31"/>
      <c r="K367" s="15"/>
      <c r="L367" s="15"/>
      <c r="M367" s="15"/>
      <c r="N367" s="15"/>
      <c r="O367" s="15"/>
      <c r="P367" s="14"/>
      <c r="Q367" s="14"/>
      <c r="R367" s="14"/>
      <c r="S367" s="14"/>
      <c r="T367" s="14"/>
      <c r="U367" s="14"/>
      <c r="V367" s="14"/>
      <c r="W367" s="14"/>
      <c r="X367" s="14"/>
      <c r="Y367" s="13"/>
      <c r="Z367" s="44"/>
      <c r="AA367" s="43"/>
      <c r="AB367" s="13"/>
      <c r="AC367" s="13"/>
      <c r="AD367" s="13"/>
      <c r="AE367" s="13"/>
      <c r="AF367" s="13"/>
      <c r="AG367" s="13"/>
      <c r="AH367" s="13"/>
      <c r="AI367" s="13"/>
      <c r="AJ367" s="13"/>
      <c r="AK367" s="44"/>
    </row>
    <row r="368" spans="1:38" ht="12.75" customHeight="1">
      <c r="A368" s="41">
        <v>34</v>
      </c>
      <c r="B368" s="10">
        <v>995</v>
      </c>
      <c r="C368" s="10" t="s">
        <v>1099</v>
      </c>
      <c r="D368" s="16">
        <v>1357.42</v>
      </c>
      <c r="E368" s="20" t="s">
        <v>1100</v>
      </c>
      <c r="F368" s="20" t="s">
        <v>1101</v>
      </c>
      <c r="G368" s="12">
        <v>1</v>
      </c>
      <c r="H368" s="12">
        <v>3</v>
      </c>
      <c r="I368" s="16">
        <f>ROUND(G368,0)</f>
        <v>1</v>
      </c>
      <c r="J368" s="16">
        <f>ROUND(H368,0)</f>
        <v>3</v>
      </c>
      <c r="K368" s="18" t="str">
        <f>IF(I368=J368,"TAM",(CONCATENATE(G368,"/",H368)))</f>
        <v>1/3</v>
      </c>
      <c r="L368" s="29">
        <f>1357.42*1/3</f>
        <v>452.47333333333336</v>
      </c>
      <c r="M368" s="30">
        <v>0</v>
      </c>
      <c r="N368" s="16" t="str">
        <f>IF(M368=0,"0",(O368*M368))</f>
        <v>0</v>
      </c>
      <c r="O368" s="16">
        <f>IF(W368=1,L368,((D368*G368/H368)-P368)/(1-V368)-S368-T368)</f>
        <v>452.47333333333336</v>
      </c>
      <c r="P368" s="16">
        <v>0</v>
      </c>
      <c r="Q368" s="16">
        <f>IF(U368=0,"0",O368*U368)</f>
        <v>151.46654861929207</v>
      </c>
      <c r="R368" s="17">
        <f>IF(U368=0,(((D368*G368/H368)-P368-S368-T368)/(1-V368)),(((D368*G368/H368)-P368-S368-T368)/(1-V368))-((D368*G368/H368)-P368-S368-T368)*U368/(1-V368))</f>
        <v>301.00678471404126</v>
      </c>
      <c r="S368" s="12">
        <v>0</v>
      </c>
      <c r="T368" s="12">
        <v>0</v>
      </c>
      <c r="U368" s="12">
        <v>0.334752431714485</v>
      </c>
      <c r="V368" s="12">
        <v>0</v>
      </c>
      <c r="W368" s="28">
        <f>IF(V368&gt;U368,1,V368)</f>
        <v>0</v>
      </c>
      <c r="X368" s="12">
        <v>1</v>
      </c>
      <c r="Y368" s="16">
        <v>0</v>
      </c>
      <c r="Z368" s="42" t="str">
        <f>IF(OR(W368=1,W368=0),"0",(Q368-N368))</f>
        <v>0</v>
      </c>
      <c r="AA368" s="53" t="s">
        <v>1102</v>
      </c>
      <c r="AB368" s="16" t="s">
        <v>1104</v>
      </c>
      <c r="AC368" s="16">
        <v>79.17</v>
      </c>
      <c r="AD368" s="16">
        <v>2221.85</v>
      </c>
      <c r="AE368" s="16">
        <f>ROUND(AC368*100,0)</f>
        <v>7917</v>
      </c>
      <c r="AF368" s="16">
        <f>ROUND(AD368*100,0)</f>
        <v>222185</v>
      </c>
      <c r="AG368" s="19" t="str">
        <f>IF(AC368=AD368,"TAM",(CONCATENATE(AE368,"/",AF368)))</f>
        <v>7917/222185</v>
      </c>
      <c r="AH368" s="11" t="s">
        <v>50</v>
      </c>
      <c r="AI368" s="21" t="s">
        <v>50</v>
      </c>
      <c r="AJ368" s="21" t="s">
        <v>1103</v>
      </c>
      <c r="AK368" s="54" t="s">
        <v>50</v>
      </c>
      <c r="AL368" s="1" t="s">
        <v>50</v>
      </c>
    </row>
    <row r="369" spans="1:37" ht="12.75" customHeight="1">
      <c r="A369" s="43"/>
      <c r="B369" s="13"/>
      <c r="C369" s="13"/>
      <c r="D369" s="31"/>
      <c r="E369" s="14" t="s">
        <v>50</v>
      </c>
      <c r="F369" s="14"/>
      <c r="G369" s="14"/>
      <c r="H369" s="14"/>
      <c r="I369" s="31"/>
      <c r="J369" s="31"/>
      <c r="K369" s="15"/>
      <c r="L369" s="15"/>
      <c r="M369" s="15"/>
      <c r="N369" s="15"/>
      <c r="O369" s="15"/>
      <c r="P369" s="14"/>
      <c r="Q369" s="14"/>
      <c r="R369" s="14"/>
      <c r="S369" s="14"/>
      <c r="T369" s="14"/>
      <c r="U369" s="14"/>
      <c r="V369" s="14"/>
      <c r="W369" s="14"/>
      <c r="X369" s="14"/>
      <c r="Y369" s="13"/>
      <c r="Z369" s="44"/>
      <c r="AA369" s="43"/>
      <c r="AB369" s="13"/>
      <c r="AC369" s="13"/>
      <c r="AD369" s="13"/>
      <c r="AE369" s="13"/>
      <c r="AF369" s="13"/>
      <c r="AG369" s="13"/>
      <c r="AH369" s="13"/>
      <c r="AI369" s="13"/>
      <c r="AJ369" s="13"/>
      <c r="AK369" s="44"/>
    </row>
    <row r="370" spans="1:38" ht="12.75" customHeight="1">
      <c r="A370" s="41">
        <v>32</v>
      </c>
      <c r="B370" s="10">
        <v>995</v>
      </c>
      <c r="C370" s="10" t="s">
        <v>1105</v>
      </c>
      <c r="D370" s="16">
        <v>1357.42</v>
      </c>
      <c r="E370" s="20" t="s">
        <v>1106</v>
      </c>
      <c r="F370" s="20" t="s">
        <v>1107</v>
      </c>
      <c r="G370" s="12">
        <v>1</v>
      </c>
      <c r="H370" s="12">
        <v>3</v>
      </c>
      <c r="I370" s="16">
        <f>ROUND(G370,0)</f>
        <v>1</v>
      </c>
      <c r="J370" s="16">
        <f>ROUND(H370,0)</f>
        <v>3</v>
      </c>
      <c r="K370" s="18" t="str">
        <f>IF(I370=J370,"TAM",(CONCATENATE(G370,"/",H370)))</f>
        <v>1/3</v>
      </c>
      <c r="L370" s="29">
        <f>1357.42*1/3</f>
        <v>452.47333333333336</v>
      </c>
      <c r="M370" s="30">
        <v>0</v>
      </c>
      <c r="N370" s="16" t="str">
        <f>IF(M370=0,"0",(O370*M370))</f>
        <v>0</v>
      </c>
      <c r="O370" s="16">
        <f>IF(W370=1,L370,((D370*G370/H370)-P370)/(1-V370)-S370-T370)</f>
        <v>452.47333333333336</v>
      </c>
      <c r="P370" s="16">
        <v>0</v>
      </c>
      <c r="Q370" s="16">
        <f>IF(U370=0,"0",O370*U370)</f>
        <v>151.46654861929207</v>
      </c>
      <c r="R370" s="17">
        <f>IF(U370=0,(((D370*G370/H370)-P370-S370-T370)/(1-V370)),(((D370*G370/H370)-P370-S370-T370)/(1-V370))-((D370*G370/H370)-P370-S370-T370)*U370/(1-V370))</f>
        <v>301.00678471404126</v>
      </c>
      <c r="S370" s="12">
        <v>0</v>
      </c>
      <c r="T370" s="12">
        <v>0</v>
      </c>
      <c r="U370" s="12">
        <v>0.334752431714485</v>
      </c>
      <c r="V370" s="12">
        <v>0</v>
      </c>
      <c r="W370" s="28">
        <f>IF(V370&gt;U370,1,V370)</f>
        <v>0</v>
      </c>
      <c r="X370" s="12">
        <v>1</v>
      </c>
      <c r="Y370" s="16">
        <v>0</v>
      </c>
      <c r="Z370" s="42" t="str">
        <f>IF(OR(W370=1,W370=0),"0",(Q370-N370))</f>
        <v>0</v>
      </c>
      <c r="AA370" s="53" t="s">
        <v>1108</v>
      </c>
      <c r="AB370" s="16" t="s">
        <v>1110</v>
      </c>
      <c r="AC370" s="16">
        <v>79.17</v>
      </c>
      <c r="AD370" s="16">
        <v>2221.85</v>
      </c>
      <c r="AE370" s="16">
        <f>ROUND(AC370*100,0)</f>
        <v>7917</v>
      </c>
      <c r="AF370" s="16">
        <f>ROUND(AD370*100,0)</f>
        <v>222185</v>
      </c>
      <c r="AG370" s="19" t="str">
        <f>IF(AC370=AD370,"TAM",(CONCATENATE(AE370,"/",AF370)))</f>
        <v>7917/222185</v>
      </c>
      <c r="AH370" s="11" t="s">
        <v>50</v>
      </c>
      <c r="AI370" s="21" t="s">
        <v>50</v>
      </c>
      <c r="AJ370" s="21" t="s">
        <v>1109</v>
      </c>
      <c r="AK370" s="54" t="s">
        <v>50</v>
      </c>
      <c r="AL370" s="1" t="s">
        <v>50</v>
      </c>
    </row>
    <row r="371" spans="1:37" ht="12.75" customHeight="1">
      <c r="A371" s="43"/>
      <c r="B371" s="13"/>
      <c r="C371" s="13"/>
      <c r="D371" s="31"/>
      <c r="E371" s="14" t="s">
        <v>50</v>
      </c>
      <c r="F371" s="14"/>
      <c r="G371" s="14"/>
      <c r="H371" s="14"/>
      <c r="I371" s="31"/>
      <c r="J371" s="31"/>
      <c r="K371" s="15"/>
      <c r="L371" s="15"/>
      <c r="M371" s="15"/>
      <c r="N371" s="15"/>
      <c r="O371" s="15"/>
      <c r="P371" s="14"/>
      <c r="Q371" s="14"/>
      <c r="R371" s="14"/>
      <c r="S371" s="14"/>
      <c r="T371" s="14"/>
      <c r="U371" s="14"/>
      <c r="V371" s="14"/>
      <c r="W371" s="14"/>
      <c r="X371" s="14"/>
      <c r="Y371" s="13"/>
      <c r="Z371" s="44"/>
      <c r="AA371" s="43"/>
      <c r="AB371" s="13"/>
      <c r="AC371" s="13"/>
      <c r="AD371" s="13"/>
      <c r="AE371" s="13"/>
      <c r="AF371" s="13"/>
      <c r="AG371" s="13"/>
      <c r="AH371" s="13"/>
      <c r="AI371" s="13"/>
      <c r="AJ371" s="13"/>
      <c r="AK371" s="44"/>
    </row>
    <row r="372" spans="1:38" ht="12.75" customHeight="1">
      <c r="A372" s="41">
        <v>33</v>
      </c>
      <c r="B372" s="10">
        <v>995</v>
      </c>
      <c r="C372" s="10" t="s">
        <v>1111</v>
      </c>
      <c r="D372" s="16">
        <v>1357.42</v>
      </c>
      <c r="E372" s="20" t="s">
        <v>1112</v>
      </c>
      <c r="F372" s="20" t="s">
        <v>1113</v>
      </c>
      <c r="G372" s="12">
        <v>1</v>
      </c>
      <c r="H372" s="12">
        <v>3</v>
      </c>
      <c r="I372" s="16">
        <f>ROUND(G372,0)</f>
        <v>1</v>
      </c>
      <c r="J372" s="16">
        <f>ROUND(H372,0)</f>
        <v>3</v>
      </c>
      <c r="K372" s="18" t="str">
        <f>IF(I372=J372,"TAM",(CONCATENATE(G372,"/",H372)))</f>
        <v>1/3</v>
      </c>
      <c r="L372" s="29">
        <f>1357.42*1/3</f>
        <v>452.47333333333336</v>
      </c>
      <c r="M372" s="30">
        <v>0</v>
      </c>
      <c r="N372" s="16" t="str">
        <f>IF(M372=0,"0",(O372*M372))</f>
        <v>0</v>
      </c>
      <c r="O372" s="16">
        <f>IF(W372=1,L372,((D372*G372/H372)-P372)/(1-V372)-S372-T372)</f>
        <v>452.47333333333336</v>
      </c>
      <c r="P372" s="16">
        <v>0</v>
      </c>
      <c r="Q372" s="16">
        <f>IF(U372=0,"0",O372*U372)</f>
        <v>151.46654861929207</v>
      </c>
      <c r="R372" s="17">
        <f>IF(U372=0,(((D372*G372/H372)-P372-S372-T372)/(1-V372)),(((D372*G372/H372)-P372-S372-T372)/(1-V372))-((D372*G372/H372)-P372-S372-T372)*U372/(1-V372))</f>
        <v>301.00678471404126</v>
      </c>
      <c r="S372" s="12">
        <v>0</v>
      </c>
      <c r="T372" s="12">
        <v>0</v>
      </c>
      <c r="U372" s="12">
        <v>0.334752431714485</v>
      </c>
      <c r="V372" s="12">
        <v>0</v>
      </c>
      <c r="W372" s="28">
        <f>IF(V372&gt;U372,1,V372)</f>
        <v>0</v>
      </c>
      <c r="X372" s="12">
        <v>1</v>
      </c>
      <c r="Y372" s="16">
        <v>0</v>
      </c>
      <c r="Z372" s="42" t="str">
        <f>IF(OR(W372=1,W372=0),"0",(Q372-N372))</f>
        <v>0</v>
      </c>
      <c r="AA372" s="53" t="s">
        <v>1114</v>
      </c>
      <c r="AB372" s="16" t="s">
        <v>1116</v>
      </c>
      <c r="AC372" s="16">
        <v>79.16</v>
      </c>
      <c r="AD372" s="16">
        <v>2221.85</v>
      </c>
      <c r="AE372" s="16">
        <f>ROUND(AC372*100,0)</f>
        <v>7916</v>
      </c>
      <c r="AF372" s="16">
        <f>ROUND(AD372*100,0)</f>
        <v>222185</v>
      </c>
      <c r="AG372" s="19" t="str">
        <f>IF(AC372=AD372,"TAM",(CONCATENATE(AE372,"/",AF372)))</f>
        <v>7916/222185</v>
      </c>
      <c r="AH372" s="11" t="s">
        <v>50</v>
      </c>
      <c r="AI372" s="21" t="s">
        <v>50</v>
      </c>
      <c r="AJ372" s="21" t="s">
        <v>1115</v>
      </c>
      <c r="AK372" s="54" t="s">
        <v>50</v>
      </c>
      <c r="AL372" s="1" t="s">
        <v>50</v>
      </c>
    </row>
    <row r="373" spans="1:37" ht="12.75" customHeight="1">
      <c r="A373" s="43"/>
      <c r="B373" s="13"/>
      <c r="C373" s="13"/>
      <c r="D373" s="31"/>
      <c r="E373" s="14" t="s">
        <v>50</v>
      </c>
      <c r="F373" s="14"/>
      <c r="G373" s="14"/>
      <c r="H373" s="14"/>
      <c r="I373" s="31"/>
      <c r="J373" s="31"/>
      <c r="K373" s="15"/>
      <c r="L373" s="15"/>
      <c r="M373" s="15"/>
      <c r="N373" s="15"/>
      <c r="O373" s="15"/>
      <c r="P373" s="14"/>
      <c r="Q373" s="14"/>
      <c r="R373" s="14"/>
      <c r="S373" s="14"/>
      <c r="T373" s="14"/>
      <c r="U373" s="14"/>
      <c r="V373" s="14"/>
      <c r="W373" s="14"/>
      <c r="X373" s="14"/>
      <c r="Y373" s="13"/>
      <c r="Z373" s="44"/>
      <c r="AA373" s="43"/>
      <c r="AB373" s="13"/>
      <c r="AC373" s="13"/>
      <c r="AD373" s="13"/>
      <c r="AE373" s="13"/>
      <c r="AF373" s="13"/>
      <c r="AG373" s="13"/>
      <c r="AH373" s="13"/>
      <c r="AI373" s="13"/>
      <c r="AJ373" s="13"/>
      <c r="AK373" s="44"/>
    </row>
    <row r="374" spans="1:38" ht="12.75" customHeight="1">
      <c r="A374" s="41">
        <v>35</v>
      </c>
      <c r="B374" s="10">
        <v>996</v>
      </c>
      <c r="C374" s="10" t="s">
        <v>1117</v>
      </c>
      <c r="D374" s="16">
        <v>432.92</v>
      </c>
      <c r="E374" s="20" t="s">
        <v>1118</v>
      </c>
      <c r="F374" s="20" t="s">
        <v>1119</v>
      </c>
      <c r="G374" s="12">
        <v>1</v>
      </c>
      <c r="H374" s="12">
        <v>1</v>
      </c>
      <c r="I374" s="16">
        <f>ROUND(G374,0)</f>
        <v>1</v>
      </c>
      <c r="J374" s="16">
        <f>ROUND(H374,0)</f>
        <v>1</v>
      </c>
      <c r="K374" s="18" t="str">
        <f>IF(I374=J374,"TAM",(CONCATENATE(G374,"/",H374)))</f>
        <v>TAM</v>
      </c>
      <c r="L374" s="29">
        <f>432.92*1/1</f>
        <v>432.92</v>
      </c>
      <c r="M374" s="30">
        <v>0</v>
      </c>
      <c r="N374" s="16" t="str">
        <f>IF(M374=0,"0",(O374*M374))</f>
        <v>0</v>
      </c>
      <c r="O374" s="16">
        <f>IF(W374=1,L374,((D374*G374/H374)-P374)/(1-V374)-S374-T374)</f>
        <v>432.92</v>
      </c>
      <c r="P374" s="16">
        <v>0</v>
      </c>
      <c r="Q374" s="16">
        <f>IF(U374=0,"0",O374*U374)</f>
        <v>144.92102273783485</v>
      </c>
      <c r="R374" s="17">
        <f>IF(U374=0,(((D374*G374/H374)-P374-S374-T374)/(1-V374)),(((D374*G374/H374)-P374-S374-T374)/(1-V374))-((D374*G374/H374)-P374-S374-T374)*U374/(1-V374))</f>
        <v>287.99897726216517</v>
      </c>
      <c r="S374" s="12">
        <v>0</v>
      </c>
      <c r="T374" s="12">
        <v>0</v>
      </c>
      <c r="U374" s="12">
        <v>0.334752431714485</v>
      </c>
      <c r="V374" s="12">
        <v>0</v>
      </c>
      <c r="W374" s="28">
        <f>IF(V374&gt;U374,1,V374)</f>
        <v>0</v>
      </c>
      <c r="X374" s="12">
        <v>1</v>
      </c>
      <c r="Y374" s="16">
        <v>0</v>
      </c>
      <c r="Z374" s="42" t="str">
        <f>IF(OR(W374=1,W374=0),"0",(Q374-N374))</f>
        <v>0</v>
      </c>
      <c r="AA374" s="53" t="s">
        <v>1120</v>
      </c>
      <c r="AB374" s="16" t="s">
        <v>1122</v>
      </c>
      <c r="AC374" s="16">
        <v>288</v>
      </c>
      <c r="AD374" s="16">
        <v>2221.85</v>
      </c>
      <c r="AE374" s="16">
        <f>ROUND(AC374*100,0)</f>
        <v>28800</v>
      </c>
      <c r="AF374" s="16">
        <f>ROUND(AD374*100,0)</f>
        <v>222185</v>
      </c>
      <c r="AG374" s="19" t="str">
        <f>IF(AC374=AD374,"TAM",(CONCATENATE(AE374,"/",AF374)))</f>
        <v>28800/222185</v>
      </c>
      <c r="AH374" s="11" t="s">
        <v>50</v>
      </c>
      <c r="AI374" s="21" t="s">
        <v>50</v>
      </c>
      <c r="AJ374" s="21" t="s">
        <v>1121</v>
      </c>
      <c r="AK374" s="54" t="s">
        <v>50</v>
      </c>
      <c r="AL374" s="1" t="s">
        <v>50</v>
      </c>
    </row>
    <row r="375" spans="1:37" ht="12.75" customHeight="1">
      <c r="A375" s="43"/>
      <c r="B375" s="13"/>
      <c r="C375" s="13"/>
      <c r="D375" s="31"/>
      <c r="E375" s="14" t="s">
        <v>50</v>
      </c>
      <c r="F375" s="14"/>
      <c r="G375" s="14"/>
      <c r="H375" s="14"/>
      <c r="I375" s="31"/>
      <c r="J375" s="31"/>
      <c r="K375" s="15"/>
      <c r="L375" s="15"/>
      <c r="M375" s="15"/>
      <c r="N375" s="15"/>
      <c r="O375" s="15"/>
      <c r="P375" s="14"/>
      <c r="Q375" s="14"/>
      <c r="R375" s="14"/>
      <c r="S375" s="14"/>
      <c r="T375" s="14"/>
      <c r="U375" s="14"/>
      <c r="V375" s="14"/>
      <c r="W375" s="14"/>
      <c r="X375" s="14"/>
      <c r="Y375" s="13"/>
      <c r="Z375" s="44"/>
      <c r="AA375" s="43"/>
      <c r="AB375" s="13"/>
      <c r="AC375" s="13"/>
      <c r="AD375" s="13"/>
      <c r="AE375" s="13"/>
      <c r="AF375" s="13"/>
      <c r="AG375" s="13"/>
      <c r="AH375" s="13"/>
      <c r="AI375" s="13"/>
      <c r="AJ375" s="13"/>
      <c r="AK375" s="44"/>
    </row>
    <row r="376" spans="1:38" ht="12.75" customHeight="1">
      <c r="A376" s="41">
        <v>36</v>
      </c>
      <c r="B376" s="10">
        <v>997</v>
      </c>
      <c r="C376" s="10" t="s">
        <v>1123</v>
      </c>
      <c r="D376" s="16">
        <v>394.89</v>
      </c>
      <c r="E376" s="20" t="s">
        <v>1124</v>
      </c>
      <c r="F376" s="20" t="s">
        <v>1125</v>
      </c>
      <c r="G376" s="12">
        <v>1</v>
      </c>
      <c r="H376" s="12">
        <v>1</v>
      </c>
      <c r="I376" s="16">
        <f>ROUND(G376,0)</f>
        <v>1</v>
      </c>
      <c r="J376" s="16">
        <f>ROUND(H376,0)</f>
        <v>1</v>
      </c>
      <c r="K376" s="18" t="str">
        <f>IF(I376=J376,"TAM",(CONCATENATE(G376,"/",H376)))</f>
        <v>TAM</v>
      </c>
      <c r="L376" s="29">
        <f>394.89*1/1</f>
        <v>394.89</v>
      </c>
      <c r="M376" s="30">
        <v>0</v>
      </c>
      <c r="N376" s="16" t="str">
        <f>IF(M376=0,"0",(O376*M376))</f>
        <v>0</v>
      </c>
      <c r="O376" s="16">
        <f>IF(W376=1,L376,((D376*G376/H376)-P376)/(1-V376)-S376-T376)</f>
        <v>394.89</v>
      </c>
      <c r="P376" s="16">
        <v>0</v>
      </c>
      <c r="Q376" s="16">
        <f>IF(U376=0,"0",O376*U376)</f>
        <v>132.19038775973297</v>
      </c>
      <c r="R376" s="17">
        <f>IF(U376=0,(((D376*G376/H376)-P376-S376-T376)/(1-V376)),(((D376*G376/H376)-P376-S376-T376)/(1-V376))-((D376*G376/H376)-P376-S376-T376)*U376/(1-V376))</f>
        <v>262.699612240267</v>
      </c>
      <c r="S376" s="12">
        <v>0</v>
      </c>
      <c r="T376" s="12">
        <v>0</v>
      </c>
      <c r="U376" s="12">
        <v>0.334752431714485</v>
      </c>
      <c r="V376" s="12">
        <v>0</v>
      </c>
      <c r="W376" s="28">
        <f>IF(V376&gt;U376,1,V376)</f>
        <v>0</v>
      </c>
      <c r="X376" s="12">
        <v>1</v>
      </c>
      <c r="Y376" s="16">
        <v>0</v>
      </c>
      <c r="Z376" s="42" t="str">
        <f>IF(OR(W376=1,W376=0),"0",(Q376-N376))</f>
        <v>0</v>
      </c>
      <c r="AA376" s="53" t="s">
        <v>1126</v>
      </c>
      <c r="AB376" s="16" t="s">
        <v>1128</v>
      </c>
      <c r="AC376" s="16">
        <v>262.7</v>
      </c>
      <c r="AD376" s="16">
        <v>2221.85</v>
      </c>
      <c r="AE376" s="16">
        <f>ROUND(AC376*100,0)</f>
        <v>26270</v>
      </c>
      <c r="AF376" s="16">
        <f>ROUND(AD376*100,0)</f>
        <v>222185</v>
      </c>
      <c r="AG376" s="19" t="str">
        <f>IF(AC376=AD376,"TAM",(CONCATENATE(AE376,"/",AF376)))</f>
        <v>26270/222185</v>
      </c>
      <c r="AH376" s="11" t="s">
        <v>50</v>
      </c>
      <c r="AI376" s="21" t="s">
        <v>50</v>
      </c>
      <c r="AJ376" s="21" t="s">
        <v>1127</v>
      </c>
      <c r="AK376" s="54" t="s">
        <v>50</v>
      </c>
      <c r="AL376" s="1" t="s">
        <v>50</v>
      </c>
    </row>
    <row r="377" spans="1:37" ht="12.75" customHeight="1">
      <c r="A377" s="43"/>
      <c r="B377" s="13"/>
      <c r="C377" s="13"/>
      <c r="D377" s="31"/>
      <c r="E377" s="14" t="s">
        <v>50</v>
      </c>
      <c r="F377" s="14"/>
      <c r="G377" s="14"/>
      <c r="H377" s="14"/>
      <c r="I377" s="31"/>
      <c r="J377" s="31"/>
      <c r="K377" s="15"/>
      <c r="L377" s="15"/>
      <c r="M377" s="15"/>
      <c r="N377" s="15"/>
      <c r="O377" s="15"/>
      <c r="P377" s="14"/>
      <c r="Q377" s="14"/>
      <c r="R377" s="14"/>
      <c r="S377" s="14"/>
      <c r="T377" s="14"/>
      <c r="U377" s="14"/>
      <c r="V377" s="14"/>
      <c r="W377" s="14"/>
      <c r="X377" s="14"/>
      <c r="Y377" s="13"/>
      <c r="Z377" s="44"/>
      <c r="AA377" s="43"/>
      <c r="AB377" s="13"/>
      <c r="AC377" s="13"/>
      <c r="AD377" s="13"/>
      <c r="AE377" s="13"/>
      <c r="AF377" s="13"/>
      <c r="AG377" s="13"/>
      <c r="AH377" s="13"/>
      <c r="AI377" s="13"/>
      <c r="AJ377" s="13"/>
      <c r="AK377" s="44"/>
    </row>
    <row r="378" spans="1:38" ht="12.75" customHeight="1">
      <c r="A378" s="41">
        <v>37</v>
      </c>
      <c r="B378" s="10">
        <v>998</v>
      </c>
      <c r="C378" s="10" t="s">
        <v>1129</v>
      </c>
      <c r="D378" s="16">
        <v>473.91</v>
      </c>
      <c r="E378" s="20" t="s">
        <v>1130</v>
      </c>
      <c r="F378" s="20" t="s">
        <v>1131</v>
      </c>
      <c r="G378" s="12">
        <v>1</v>
      </c>
      <c r="H378" s="12">
        <v>1</v>
      </c>
      <c r="I378" s="16">
        <f>ROUND(G378,0)</f>
        <v>1</v>
      </c>
      <c r="J378" s="16">
        <f>ROUND(H378,0)</f>
        <v>1</v>
      </c>
      <c r="K378" s="18" t="str">
        <f>IF(I378=J378,"TAM",(CONCATENATE(G378,"/",H378)))</f>
        <v>TAM</v>
      </c>
      <c r="L378" s="29">
        <f>473.91*1/1</f>
        <v>473.91</v>
      </c>
      <c r="M378" s="30">
        <v>0</v>
      </c>
      <c r="N378" s="16" t="str">
        <f>IF(M378=0,"0",(O378*M378))</f>
        <v>0</v>
      </c>
      <c r="O378" s="16">
        <f>IF(W378=1,L378,((D378*G378/H378)-P378)/(1-V378)-S378-T378)</f>
        <v>473.91</v>
      </c>
      <c r="P378" s="16">
        <v>0</v>
      </c>
      <c r="Q378" s="16">
        <f>IF(U378=0,"0",O378*U378)</f>
        <v>158.6425249138116</v>
      </c>
      <c r="R378" s="17">
        <f>IF(U378=0,(((D378*G378/H378)-P378-S378-T378)/(1-V378)),(((D378*G378/H378)-P378-S378-T378)/(1-V378))-((D378*G378/H378)-P378-S378-T378)*U378/(1-V378))</f>
        <v>315.2674750861884</v>
      </c>
      <c r="S378" s="12">
        <v>0</v>
      </c>
      <c r="T378" s="12">
        <v>0</v>
      </c>
      <c r="U378" s="12">
        <v>0.334752431714485</v>
      </c>
      <c r="V378" s="12">
        <v>0</v>
      </c>
      <c r="W378" s="28">
        <f>IF(V378&gt;U378,1,V378)</f>
        <v>0</v>
      </c>
      <c r="X378" s="12">
        <v>1</v>
      </c>
      <c r="Y378" s="16">
        <v>0</v>
      </c>
      <c r="Z378" s="42" t="str">
        <f>IF(OR(W378=1,W378=0),"0",(Q378-N378))</f>
        <v>0</v>
      </c>
      <c r="AA378" s="53" t="s">
        <v>1132</v>
      </c>
      <c r="AB378" s="16" t="s">
        <v>1134</v>
      </c>
      <c r="AC378" s="16">
        <v>315.27</v>
      </c>
      <c r="AD378" s="16">
        <v>2221.85</v>
      </c>
      <c r="AE378" s="16">
        <f>ROUND(AC378*100,0)</f>
        <v>31527</v>
      </c>
      <c r="AF378" s="16">
        <f>ROUND(AD378*100,0)</f>
        <v>222185</v>
      </c>
      <c r="AG378" s="19" t="str">
        <f>IF(AC378=AD378,"TAM",(CONCATENATE(AE378,"/",AF378)))</f>
        <v>31527/222185</v>
      </c>
      <c r="AH378" s="11" t="s">
        <v>50</v>
      </c>
      <c r="AI378" s="21" t="s">
        <v>50</v>
      </c>
      <c r="AJ378" s="21" t="s">
        <v>1133</v>
      </c>
      <c r="AK378" s="54" t="s">
        <v>50</v>
      </c>
      <c r="AL378" s="1" t="s">
        <v>50</v>
      </c>
    </row>
    <row r="379" spans="1:37" ht="12.75" customHeight="1">
      <c r="A379" s="43"/>
      <c r="B379" s="13"/>
      <c r="C379" s="13"/>
      <c r="D379" s="31"/>
      <c r="E379" s="14" t="s">
        <v>50</v>
      </c>
      <c r="F379" s="14"/>
      <c r="G379" s="14"/>
      <c r="H379" s="14"/>
      <c r="I379" s="31"/>
      <c r="J379" s="31"/>
      <c r="K379" s="15"/>
      <c r="L379" s="15"/>
      <c r="M379" s="15"/>
      <c r="N379" s="15"/>
      <c r="O379" s="15"/>
      <c r="P379" s="14"/>
      <c r="Q379" s="14"/>
      <c r="R379" s="14"/>
      <c r="S379" s="14"/>
      <c r="T379" s="14"/>
      <c r="U379" s="14"/>
      <c r="V379" s="14"/>
      <c r="W379" s="14"/>
      <c r="X379" s="14"/>
      <c r="Y379" s="13"/>
      <c r="Z379" s="44"/>
      <c r="AA379" s="43"/>
      <c r="AB379" s="13"/>
      <c r="AC379" s="13"/>
      <c r="AD379" s="13"/>
      <c r="AE379" s="13"/>
      <c r="AF379" s="13"/>
      <c r="AG379" s="13"/>
      <c r="AH379" s="13"/>
      <c r="AI379" s="13"/>
      <c r="AJ379" s="13"/>
      <c r="AK379" s="44"/>
    </row>
    <row r="380" spans="1:38" ht="12.75" customHeight="1">
      <c r="A380" s="41">
        <v>455</v>
      </c>
      <c r="B380" s="10">
        <v>1138</v>
      </c>
      <c r="C380" s="10" t="s">
        <v>1135</v>
      </c>
      <c r="D380" s="16">
        <v>3647.83</v>
      </c>
      <c r="E380" s="20" t="s">
        <v>1136</v>
      </c>
      <c r="F380" s="20" t="s">
        <v>1137</v>
      </c>
      <c r="G380" s="12">
        <v>1</v>
      </c>
      <c r="H380" s="12">
        <v>3</v>
      </c>
      <c r="I380" s="16">
        <f>ROUND(G380,0)</f>
        <v>1</v>
      </c>
      <c r="J380" s="16">
        <f>ROUND(H380,0)</f>
        <v>3</v>
      </c>
      <c r="K380" s="18" t="str">
        <f>IF(I380=J380,"TAM",(CONCATENATE(G380,"/",H380)))</f>
        <v>1/3</v>
      </c>
      <c r="L380" s="29">
        <f>3647.83*1/3</f>
        <v>1215.9433333333332</v>
      </c>
      <c r="M380" s="30">
        <v>0</v>
      </c>
      <c r="N380" s="16" t="str">
        <f>IF(M380=0,"0",(O380*M380))</f>
        <v>0</v>
      </c>
      <c r="O380" s="16">
        <f>IF(W380=1,L380,((D380*G380/H380)-P380)/(1-V380)-S380-T380)</f>
        <v>918.1733333333334</v>
      </c>
      <c r="P380" s="16">
        <v>297.77</v>
      </c>
      <c r="Q380" s="16">
        <f>IF(U380=0,"0",O380*U380)</f>
        <v>307.36075606872777</v>
      </c>
      <c r="R380" s="17">
        <f>IF(U380=0,(((D380*G380/H380)-P380-S380-T380)/(1-V380)),(((D380*G380/H380)-P380-S380-T380)/(1-V380))-((D380*G380/H380)-P380-S380-T380)*U380/(1-V380))</f>
        <v>610.8125772646056</v>
      </c>
      <c r="S380" s="12">
        <v>0</v>
      </c>
      <c r="T380" s="12">
        <v>0</v>
      </c>
      <c r="U380" s="12">
        <v>0.334752431714485</v>
      </c>
      <c r="V380" s="12">
        <v>0</v>
      </c>
      <c r="W380" s="28">
        <f>IF(V380&gt;U380,1,V380)</f>
        <v>0</v>
      </c>
      <c r="X380" s="12">
        <v>1</v>
      </c>
      <c r="Y380" s="16">
        <v>0</v>
      </c>
      <c r="Z380" s="42" t="str">
        <f>IF(OR(W380=1,W380=0),"0",(Q380-N380))</f>
        <v>0</v>
      </c>
      <c r="AA380" s="53" t="s">
        <v>1138</v>
      </c>
      <c r="AB380" s="16" t="s">
        <v>1140</v>
      </c>
      <c r="AC380" s="16">
        <v>18.01</v>
      </c>
      <c r="AD380" s="16">
        <v>2221.85</v>
      </c>
      <c r="AE380" s="16">
        <f>ROUND(AC380*100,0)</f>
        <v>1801</v>
      </c>
      <c r="AF380" s="16">
        <f>ROUND(AD380*100,0)</f>
        <v>222185</v>
      </c>
      <c r="AG380" s="19" t="str">
        <f>IF(AC380=AD380,"TAM",(CONCATENATE(AE380,"/",AF380)))</f>
        <v>1801/222185</v>
      </c>
      <c r="AH380" s="11" t="s">
        <v>50</v>
      </c>
      <c r="AI380" s="21" t="s">
        <v>50</v>
      </c>
      <c r="AJ380" s="21" t="s">
        <v>1139</v>
      </c>
      <c r="AK380" s="54" t="s">
        <v>50</v>
      </c>
      <c r="AL380" s="1" t="s">
        <v>50</v>
      </c>
    </row>
    <row r="381" spans="1:37" ht="12.75" customHeight="1">
      <c r="A381" s="43"/>
      <c r="B381" s="13"/>
      <c r="C381" s="13"/>
      <c r="D381" s="31"/>
      <c r="E381" s="14" t="s">
        <v>50</v>
      </c>
      <c r="F381" s="14"/>
      <c r="G381" s="14"/>
      <c r="H381" s="14"/>
      <c r="I381" s="31"/>
      <c r="J381" s="31"/>
      <c r="K381" s="15"/>
      <c r="L381" s="15"/>
      <c r="M381" s="15"/>
      <c r="N381" s="15"/>
      <c r="O381" s="15"/>
      <c r="P381" s="14"/>
      <c r="Q381" s="14"/>
      <c r="R381" s="14"/>
      <c r="S381" s="14"/>
      <c r="T381" s="14"/>
      <c r="U381" s="14"/>
      <c r="V381" s="14"/>
      <c r="W381" s="14"/>
      <c r="X381" s="14"/>
      <c r="Y381" s="13"/>
      <c r="Z381" s="44"/>
      <c r="AA381" s="43"/>
      <c r="AB381" s="13"/>
      <c r="AC381" s="13"/>
      <c r="AD381" s="13"/>
      <c r="AE381" s="13"/>
      <c r="AF381" s="13"/>
      <c r="AG381" s="13"/>
      <c r="AH381" s="13"/>
      <c r="AI381" s="13"/>
      <c r="AJ381" s="13"/>
      <c r="AK381" s="44"/>
    </row>
    <row r="382" spans="1:38" ht="12.75" customHeight="1">
      <c r="A382" s="41">
        <v>456</v>
      </c>
      <c r="B382" s="10">
        <v>1138</v>
      </c>
      <c r="C382" s="10" t="s">
        <v>1141</v>
      </c>
      <c r="D382" s="16">
        <v>3647.83</v>
      </c>
      <c r="E382" s="20" t="s">
        <v>1142</v>
      </c>
      <c r="F382" s="20" t="s">
        <v>1143</v>
      </c>
      <c r="G382" s="12">
        <v>1</v>
      </c>
      <c r="H382" s="12">
        <v>3</v>
      </c>
      <c r="I382" s="16">
        <f>ROUND(G382,0)</f>
        <v>1</v>
      </c>
      <c r="J382" s="16">
        <f>ROUND(H382,0)</f>
        <v>3</v>
      </c>
      <c r="K382" s="18" t="str">
        <f>IF(I382=J382,"TAM",(CONCATENATE(G382,"/",H382)))</f>
        <v>1/3</v>
      </c>
      <c r="L382" s="29">
        <f>3647.83*1/3</f>
        <v>1215.9433333333332</v>
      </c>
      <c r="M382" s="30">
        <v>0</v>
      </c>
      <c r="N382" s="16" t="str">
        <f>IF(M382=0,"0",(O382*M382))</f>
        <v>0</v>
      </c>
      <c r="O382" s="16">
        <f>IF(W382=1,L382,((D382*G382/H382)-P382)/(1-V382)-S382-T382)</f>
        <v>918.1733333333334</v>
      </c>
      <c r="P382" s="16">
        <v>297.77</v>
      </c>
      <c r="Q382" s="16">
        <f>IF(U382=0,"0",O382*U382)</f>
        <v>307.36075606872777</v>
      </c>
      <c r="R382" s="17">
        <f>IF(U382=0,(((D382*G382/H382)-P382-S382-T382)/(1-V382)),(((D382*G382/H382)-P382-S382-T382)/(1-V382))-((D382*G382/H382)-P382-S382-T382)*U382/(1-V382))</f>
        <v>610.8125772646056</v>
      </c>
      <c r="S382" s="12">
        <v>0</v>
      </c>
      <c r="T382" s="12">
        <v>0</v>
      </c>
      <c r="U382" s="12">
        <v>0.334752431714485</v>
      </c>
      <c r="V382" s="12">
        <v>0</v>
      </c>
      <c r="W382" s="28">
        <f>IF(V382&gt;U382,1,V382)</f>
        <v>0</v>
      </c>
      <c r="X382" s="12">
        <v>1</v>
      </c>
      <c r="Y382" s="16">
        <v>0</v>
      </c>
      <c r="Z382" s="42" t="str">
        <f>IF(OR(W382=1,W382=0),"0",(Q382-N382))</f>
        <v>0</v>
      </c>
      <c r="AA382" s="53" t="s">
        <v>1144</v>
      </c>
      <c r="AB382" s="16" t="s">
        <v>1146</v>
      </c>
      <c r="AC382" s="16">
        <v>18.01</v>
      </c>
      <c r="AD382" s="16">
        <v>2221.85</v>
      </c>
      <c r="AE382" s="16">
        <f>ROUND(AC382*100,0)</f>
        <v>1801</v>
      </c>
      <c r="AF382" s="16">
        <f>ROUND(AD382*100,0)</f>
        <v>222185</v>
      </c>
      <c r="AG382" s="19" t="str">
        <f>IF(AC382=AD382,"TAM",(CONCATENATE(AE382,"/",AF382)))</f>
        <v>1801/222185</v>
      </c>
      <c r="AH382" s="11" t="s">
        <v>50</v>
      </c>
      <c r="AI382" s="21" t="s">
        <v>50</v>
      </c>
      <c r="AJ382" s="21" t="s">
        <v>1145</v>
      </c>
      <c r="AK382" s="54" t="s">
        <v>50</v>
      </c>
      <c r="AL382" s="1" t="s">
        <v>50</v>
      </c>
    </row>
    <row r="383" spans="1:37" ht="12.75" customHeight="1">
      <c r="A383" s="43"/>
      <c r="B383" s="13"/>
      <c r="C383" s="13"/>
      <c r="D383" s="31"/>
      <c r="E383" s="14" t="s">
        <v>50</v>
      </c>
      <c r="F383" s="14"/>
      <c r="G383" s="14"/>
      <c r="H383" s="14"/>
      <c r="I383" s="31"/>
      <c r="J383" s="31"/>
      <c r="K383" s="15"/>
      <c r="L383" s="15"/>
      <c r="M383" s="15"/>
      <c r="N383" s="15"/>
      <c r="O383" s="15"/>
      <c r="P383" s="14"/>
      <c r="Q383" s="14"/>
      <c r="R383" s="14"/>
      <c r="S383" s="14"/>
      <c r="T383" s="14"/>
      <c r="U383" s="14"/>
      <c r="V383" s="14"/>
      <c r="W383" s="14"/>
      <c r="X383" s="14"/>
      <c r="Y383" s="13"/>
      <c r="Z383" s="44"/>
      <c r="AA383" s="43"/>
      <c r="AB383" s="13"/>
      <c r="AC383" s="13"/>
      <c r="AD383" s="13"/>
      <c r="AE383" s="13"/>
      <c r="AF383" s="13"/>
      <c r="AG383" s="13"/>
      <c r="AH383" s="13"/>
      <c r="AI383" s="13"/>
      <c r="AJ383" s="13"/>
      <c r="AK383" s="44"/>
    </row>
    <row r="384" spans="1:38" ht="12.75" customHeight="1">
      <c r="A384" s="41">
        <v>457</v>
      </c>
      <c r="B384" s="10">
        <v>1138</v>
      </c>
      <c r="C384" s="10" t="s">
        <v>1147</v>
      </c>
      <c r="D384" s="16">
        <v>3647.83</v>
      </c>
      <c r="E384" s="20" t="s">
        <v>1148</v>
      </c>
      <c r="F384" s="20" t="s">
        <v>1149</v>
      </c>
      <c r="G384" s="12">
        <v>1</v>
      </c>
      <c r="H384" s="12">
        <v>3</v>
      </c>
      <c r="I384" s="16">
        <f>ROUND(G384,0)</f>
        <v>1</v>
      </c>
      <c r="J384" s="16">
        <f>ROUND(H384,0)</f>
        <v>3</v>
      </c>
      <c r="K384" s="18" t="str">
        <f>IF(I384=J384,"TAM",(CONCATENATE(G384,"/",H384)))</f>
        <v>1/3</v>
      </c>
      <c r="L384" s="29">
        <f>3647.83*1/3</f>
        <v>1215.9433333333332</v>
      </c>
      <c r="M384" s="30">
        <v>0</v>
      </c>
      <c r="N384" s="16" t="str">
        <f>IF(M384=0,"0",(O384*M384))</f>
        <v>0</v>
      </c>
      <c r="O384" s="16">
        <f>IF(W384=1,L384,((D384*G384/H384)-P384)/(1-V384)-S384-T384)</f>
        <v>918.1733333333334</v>
      </c>
      <c r="P384" s="16">
        <v>297.77</v>
      </c>
      <c r="Q384" s="16">
        <f>IF(U384=0,"0",O384*U384)</f>
        <v>307.36075606872777</v>
      </c>
      <c r="R384" s="17">
        <f>IF(U384=0,(((D384*G384/H384)-P384-S384-T384)/(1-V384)),(((D384*G384/H384)-P384-S384-T384)/(1-V384))-((D384*G384/H384)-P384-S384-T384)*U384/(1-V384))</f>
        <v>610.8125772646056</v>
      </c>
      <c r="S384" s="12">
        <v>0</v>
      </c>
      <c r="T384" s="12">
        <v>0</v>
      </c>
      <c r="U384" s="12">
        <v>0.334752431714485</v>
      </c>
      <c r="V384" s="12">
        <v>0</v>
      </c>
      <c r="W384" s="28">
        <f>IF(V384&gt;U384,1,V384)</f>
        <v>0</v>
      </c>
      <c r="X384" s="12">
        <v>1</v>
      </c>
      <c r="Y384" s="16">
        <v>0</v>
      </c>
      <c r="Z384" s="42" t="str">
        <f>IF(OR(W384=1,W384=0),"0",(Q384-N384))</f>
        <v>0</v>
      </c>
      <c r="AA384" s="53" t="s">
        <v>1150</v>
      </c>
      <c r="AB384" s="16" t="s">
        <v>1152</v>
      </c>
      <c r="AC384" s="16">
        <v>18.02</v>
      </c>
      <c r="AD384" s="16">
        <v>2221.85</v>
      </c>
      <c r="AE384" s="16">
        <f>ROUND(AC384*100,0)</f>
        <v>1802</v>
      </c>
      <c r="AF384" s="16">
        <f>ROUND(AD384*100,0)</f>
        <v>222185</v>
      </c>
      <c r="AG384" s="19" t="str">
        <f>IF(AC384=AD384,"TAM",(CONCATENATE(AE384,"/",AF384)))</f>
        <v>1802/222185</v>
      </c>
      <c r="AH384" s="11" t="s">
        <v>50</v>
      </c>
      <c r="AI384" s="21" t="s">
        <v>50</v>
      </c>
      <c r="AJ384" s="21" t="s">
        <v>1151</v>
      </c>
      <c r="AK384" s="54" t="s">
        <v>50</v>
      </c>
      <c r="AL384" s="1" t="s">
        <v>50</v>
      </c>
    </row>
    <row r="385" spans="1:37" ht="12.75" customHeight="1">
      <c r="A385" s="43"/>
      <c r="B385" s="13"/>
      <c r="C385" s="13"/>
      <c r="D385" s="31"/>
      <c r="E385" s="14" t="s">
        <v>50</v>
      </c>
      <c r="F385" s="14"/>
      <c r="G385" s="14"/>
      <c r="H385" s="14"/>
      <c r="I385" s="31"/>
      <c r="J385" s="31"/>
      <c r="K385" s="15"/>
      <c r="L385" s="15"/>
      <c r="M385" s="15"/>
      <c r="N385" s="15"/>
      <c r="O385" s="15"/>
      <c r="P385" s="14"/>
      <c r="Q385" s="14"/>
      <c r="R385" s="14"/>
      <c r="S385" s="14"/>
      <c r="T385" s="14"/>
      <c r="U385" s="14"/>
      <c r="V385" s="14"/>
      <c r="W385" s="14"/>
      <c r="X385" s="14"/>
      <c r="Y385" s="13"/>
      <c r="Z385" s="44"/>
      <c r="AA385" s="43"/>
      <c r="AB385" s="13"/>
      <c r="AC385" s="13"/>
      <c r="AD385" s="13"/>
      <c r="AE385" s="13"/>
      <c r="AF385" s="13"/>
      <c r="AG385" s="13"/>
      <c r="AH385" s="13"/>
      <c r="AI385" s="13"/>
      <c r="AJ385" s="13"/>
      <c r="AK385" s="44"/>
    </row>
    <row r="386" spans="1:38" ht="12.75" customHeight="1">
      <c r="A386" s="41">
        <v>458</v>
      </c>
      <c r="B386" s="10">
        <v>1139</v>
      </c>
      <c r="C386" s="10" t="s">
        <v>1153</v>
      </c>
      <c r="D386" s="16">
        <v>3113.93</v>
      </c>
      <c r="E386" s="20" t="s">
        <v>1154</v>
      </c>
      <c r="F386" s="20" t="s">
        <v>1155</v>
      </c>
      <c r="G386" s="12">
        <v>1</v>
      </c>
      <c r="H386" s="12">
        <v>1</v>
      </c>
      <c r="I386" s="16">
        <f>ROUND(G386,0)</f>
        <v>1</v>
      </c>
      <c r="J386" s="16">
        <f>ROUND(H386,0)</f>
        <v>1</v>
      </c>
      <c r="K386" s="18" t="str">
        <f>IF(I386=J386,"TAM",(CONCATENATE(G386,"/",H386)))</f>
        <v>TAM</v>
      </c>
      <c r="L386" s="29">
        <f>3113.93*1/1</f>
        <v>3113.93</v>
      </c>
      <c r="M386" s="30">
        <v>0</v>
      </c>
      <c r="N386" s="16" t="str">
        <f>IF(M386=0,"0",(O386*M386))</f>
        <v>0</v>
      </c>
      <c r="O386" s="16">
        <f>IF(W386=1,L386,((D386*G386/H386)-P386)/(1-V386)-S386-T386)</f>
        <v>3113.93</v>
      </c>
      <c r="P386" s="16">
        <v>0</v>
      </c>
      <c r="Q386" s="16">
        <f>IF(U386=0,"0",O386*U386)</f>
        <v>1042.3956396886863</v>
      </c>
      <c r="R386" s="17">
        <f>IF(U386=0,(((D386*G386/H386)-P386-S386-T386)/(1-V386)),(((D386*G386/H386)-P386-S386-T386)/(1-V386))-((D386*G386/H386)-P386-S386-T386)*U386/(1-V386))</f>
        <v>2071.5343603113133</v>
      </c>
      <c r="S386" s="12">
        <v>0</v>
      </c>
      <c r="T386" s="12">
        <v>0</v>
      </c>
      <c r="U386" s="12">
        <v>0.334752431714485</v>
      </c>
      <c r="V386" s="12">
        <v>0</v>
      </c>
      <c r="W386" s="28">
        <f>IF(V386&gt;U386,1,V386)</f>
        <v>0</v>
      </c>
      <c r="X386" s="12">
        <v>1</v>
      </c>
      <c r="Y386" s="16">
        <v>0</v>
      </c>
      <c r="Z386" s="42" t="str">
        <f>IF(OR(W386=1,W386=0),"0",(Q386-N386))</f>
        <v>0</v>
      </c>
      <c r="AA386" s="53" t="s">
        <v>1156</v>
      </c>
      <c r="AB386" s="16" t="s">
        <v>1158</v>
      </c>
      <c r="AC386" s="16">
        <v>712.18</v>
      </c>
      <c r="AD386" s="16">
        <v>2221.85</v>
      </c>
      <c r="AE386" s="16">
        <f>ROUND(AC386*100,0)</f>
        <v>71218</v>
      </c>
      <c r="AF386" s="16">
        <f>ROUND(AD386*100,0)</f>
        <v>222185</v>
      </c>
      <c r="AG386" s="19" t="str">
        <f>IF(AC386=AD386,"TAM",(CONCATENATE(AE386,"/",AF386)))</f>
        <v>71218/222185</v>
      </c>
      <c r="AH386" s="11" t="s">
        <v>50</v>
      </c>
      <c r="AI386" s="21" t="s">
        <v>50</v>
      </c>
      <c r="AJ386" s="21" t="s">
        <v>1157</v>
      </c>
      <c r="AK386" s="54" t="s">
        <v>50</v>
      </c>
      <c r="AL386" s="1" t="s">
        <v>50</v>
      </c>
    </row>
    <row r="387" spans="1:37" ht="12.75" customHeight="1">
      <c r="A387" s="43"/>
      <c r="B387" s="13"/>
      <c r="C387" s="13"/>
      <c r="D387" s="31"/>
      <c r="E387" s="14" t="s">
        <v>50</v>
      </c>
      <c r="F387" s="14"/>
      <c r="G387" s="14"/>
      <c r="H387" s="14"/>
      <c r="I387" s="31"/>
      <c r="J387" s="31"/>
      <c r="K387" s="15"/>
      <c r="L387" s="15"/>
      <c r="M387" s="15"/>
      <c r="N387" s="15"/>
      <c r="O387" s="15"/>
      <c r="P387" s="14"/>
      <c r="Q387" s="14"/>
      <c r="R387" s="14"/>
      <c r="S387" s="14"/>
      <c r="T387" s="14"/>
      <c r="U387" s="14"/>
      <c r="V387" s="14"/>
      <c r="W387" s="14"/>
      <c r="X387" s="14"/>
      <c r="Y387" s="13"/>
      <c r="Z387" s="44"/>
      <c r="AA387" s="43"/>
      <c r="AB387" s="13"/>
      <c r="AC387" s="13"/>
      <c r="AD387" s="13"/>
      <c r="AE387" s="13"/>
      <c r="AF387" s="13"/>
      <c r="AG387" s="13"/>
      <c r="AH387" s="13"/>
      <c r="AI387" s="13"/>
      <c r="AJ387" s="13"/>
      <c r="AK387" s="44"/>
    </row>
    <row r="388" spans="1:38" ht="12.75" customHeight="1">
      <c r="A388" s="41">
        <v>461</v>
      </c>
      <c r="B388" s="10">
        <v>1141</v>
      </c>
      <c r="C388" s="10" t="s">
        <v>1159</v>
      </c>
      <c r="D388" s="16">
        <v>1230.41</v>
      </c>
      <c r="E388" s="20" t="s">
        <v>1160</v>
      </c>
      <c r="F388" s="20" t="s">
        <v>1161</v>
      </c>
      <c r="G388" s="12">
        <v>1</v>
      </c>
      <c r="H388" s="12">
        <v>1</v>
      </c>
      <c r="I388" s="16">
        <f>ROUND(G388,0)</f>
        <v>1</v>
      </c>
      <c r="J388" s="16">
        <f>ROUND(H388,0)</f>
        <v>1</v>
      </c>
      <c r="K388" s="18" t="str">
        <f>IF(I388=J388,"TAM",(CONCATENATE(G388,"/",H388)))</f>
        <v>TAM</v>
      </c>
      <c r="L388" s="29">
        <f>1230.41*1/1</f>
        <v>1230.41</v>
      </c>
      <c r="M388" s="30">
        <v>0</v>
      </c>
      <c r="N388" s="16" t="str">
        <f>IF(M388=0,"0",(O388*M388))</f>
        <v>0</v>
      </c>
      <c r="O388" s="16">
        <f>IF(W388=1,L388,((D388*G388/H388)-P388)/(1-V388)-S388-T388)</f>
        <v>1230.41</v>
      </c>
      <c r="P388" s="16">
        <v>0</v>
      </c>
      <c r="Q388" s="16">
        <f>IF(U388=0,"0",O388*U388)</f>
        <v>411.88273950581953</v>
      </c>
      <c r="R388" s="17">
        <f>IF(U388=0,(((D388*G388/H388)-P388-S388-T388)/(1-V388)),(((D388*G388/H388)-P388-S388-T388)/(1-V388))-((D388*G388/H388)-P388-S388-T388)*U388/(1-V388))</f>
        <v>818.5272604941806</v>
      </c>
      <c r="S388" s="12">
        <v>0</v>
      </c>
      <c r="T388" s="12">
        <v>0</v>
      </c>
      <c r="U388" s="12">
        <v>0.334752431714485</v>
      </c>
      <c r="V388" s="12">
        <v>0</v>
      </c>
      <c r="W388" s="28">
        <f>IF(V388&gt;U388,1,V388)</f>
        <v>0</v>
      </c>
      <c r="X388" s="12">
        <v>1</v>
      </c>
      <c r="Y388" s="16">
        <v>0</v>
      </c>
      <c r="Z388" s="42" t="str">
        <f>IF(OR(W388=1,W388=0),"0",(Q388-N388))</f>
        <v>0</v>
      </c>
      <c r="AA388" s="53" t="s">
        <v>1162</v>
      </c>
      <c r="AB388" s="16" t="s">
        <v>1164</v>
      </c>
      <c r="AC388" s="16">
        <v>165.04</v>
      </c>
      <c r="AD388" s="16">
        <v>2221.85</v>
      </c>
      <c r="AE388" s="16">
        <f>ROUND(AC388*100,0)</f>
        <v>16504</v>
      </c>
      <c r="AF388" s="16">
        <f>ROUND(AD388*100,0)</f>
        <v>222185</v>
      </c>
      <c r="AG388" s="19" t="str">
        <f>IF(AC388=AD388,"TAM",(CONCATENATE(AE388,"/",AF388)))</f>
        <v>16504/222185</v>
      </c>
      <c r="AH388" s="11" t="s">
        <v>50</v>
      </c>
      <c r="AI388" s="21" t="s">
        <v>50</v>
      </c>
      <c r="AJ388" s="21" t="s">
        <v>1163</v>
      </c>
      <c r="AK388" s="54" t="s">
        <v>50</v>
      </c>
      <c r="AL388" s="1" t="s">
        <v>50</v>
      </c>
    </row>
    <row r="389" spans="1:37" ht="12.75" customHeight="1">
      <c r="A389" s="43"/>
      <c r="B389" s="13"/>
      <c r="C389" s="13"/>
      <c r="D389" s="31"/>
      <c r="E389" s="14" t="s">
        <v>50</v>
      </c>
      <c r="F389" s="14"/>
      <c r="G389" s="14"/>
      <c r="H389" s="14"/>
      <c r="I389" s="31"/>
      <c r="J389" s="31"/>
      <c r="K389" s="15"/>
      <c r="L389" s="15"/>
      <c r="M389" s="15"/>
      <c r="N389" s="15"/>
      <c r="O389" s="15"/>
      <c r="P389" s="14"/>
      <c r="Q389" s="14"/>
      <c r="R389" s="14"/>
      <c r="S389" s="14"/>
      <c r="T389" s="14"/>
      <c r="U389" s="14"/>
      <c r="V389" s="14"/>
      <c r="W389" s="14"/>
      <c r="X389" s="14"/>
      <c r="Y389" s="13"/>
      <c r="Z389" s="44"/>
      <c r="AA389" s="43"/>
      <c r="AB389" s="13"/>
      <c r="AC389" s="13"/>
      <c r="AD389" s="13"/>
      <c r="AE389" s="13"/>
      <c r="AF389" s="13"/>
      <c r="AG389" s="13"/>
      <c r="AH389" s="13"/>
      <c r="AI389" s="13"/>
      <c r="AJ389" s="13"/>
      <c r="AK389" s="44"/>
    </row>
    <row r="390" spans="1:38" ht="12.75" customHeight="1">
      <c r="A390" s="41">
        <v>463</v>
      </c>
      <c r="B390" s="10">
        <v>1149</v>
      </c>
      <c r="C390" s="10" t="s">
        <v>1165</v>
      </c>
      <c r="D390" s="16">
        <v>491.69</v>
      </c>
      <c r="E390" s="20" t="s">
        <v>1166</v>
      </c>
      <c r="F390" s="20" t="s">
        <v>1167</v>
      </c>
      <c r="G390" s="12">
        <v>1</v>
      </c>
      <c r="H390" s="12">
        <v>2</v>
      </c>
      <c r="I390" s="16">
        <f>ROUND(G390,0)</f>
        <v>1</v>
      </c>
      <c r="J390" s="16">
        <f>ROUND(H390,0)</f>
        <v>2</v>
      </c>
      <c r="K390" s="18" t="str">
        <f>IF(I390=J390,"TAM",(CONCATENATE(G390,"/",H390)))</f>
        <v>1/2</v>
      </c>
      <c r="L390" s="29">
        <f>491.69*1/2</f>
        <v>245.845</v>
      </c>
      <c r="M390" s="30">
        <v>0</v>
      </c>
      <c r="N390" s="16" t="str">
        <f>IF(M390=0,"0",(O390*M390))</f>
        <v>0</v>
      </c>
      <c r="O390" s="16">
        <f>IF(W390=1,L390,((D390*G390/H390)-P390)/(1-V390)-S390-T390)</f>
        <v>245.845</v>
      </c>
      <c r="P390" s="16">
        <v>0</v>
      </c>
      <c r="Q390" s="16">
        <f>IF(U390=0,"0",O390*U390)</f>
        <v>82.29721157484757</v>
      </c>
      <c r="R390" s="17">
        <f>IF(U390=0,(((D390*G390/H390)-P390-S390-T390)/(1-V390)),(((D390*G390/H390)-P390-S390-T390)/(1-V390))-((D390*G390/H390)-P390-S390-T390)*U390/(1-V390))</f>
        <v>163.54778842515242</v>
      </c>
      <c r="S390" s="12">
        <v>0</v>
      </c>
      <c r="T390" s="12">
        <v>0</v>
      </c>
      <c r="U390" s="12">
        <v>0.334752431714485</v>
      </c>
      <c r="V390" s="12">
        <v>0</v>
      </c>
      <c r="W390" s="28">
        <f>IF(V390&gt;U390,1,V390)</f>
        <v>0</v>
      </c>
      <c r="X390" s="12">
        <v>1</v>
      </c>
      <c r="Y390" s="16">
        <v>0</v>
      </c>
      <c r="Z390" s="42" t="str">
        <f>IF(OR(W390=1,W390=0),"0",(Q390-N390))</f>
        <v>0</v>
      </c>
      <c r="AA390" s="53" t="s">
        <v>1168</v>
      </c>
      <c r="AB390" s="16" t="s">
        <v>1170</v>
      </c>
      <c r="AC390" s="16">
        <v>17.46</v>
      </c>
      <c r="AD390" s="16">
        <v>2221.85</v>
      </c>
      <c r="AE390" s="16">
        <f>ROUND(AC390*100,0)</f>
        <v>1746</v>
      </c>
      <c r="AF390" s="16">
        <f>ROUND(AD390*100,0)</f>
        <v>222185</v>
      </c>
      <c r="AG390" s="19" t="str">
        <f>IF(AC390=AD390,"TAM",(CONCATENATE(AE390,"/",AF390)))</f>
        <v>1746/222185</v>
      </c>
      <c r="AH390" s="11" t="s">
        <v>50</v>
      </c>
      <c r="AI390" s="21" t="s">
        <v>50</v>
      </c>
      <c r="AJ390" s="21" t="s">
        <v>1169</v>
      </c>
      <c r="AK390" s="54" t="s">
        <v>50</v>
      </c>
      <c r="AL390" s="1" t="s">
        <v>50</v>
      </c>
    </row>
    <row r="391" spans="1:37" ht="12.75" customHeight="1">
      <c r="A391" s="43"/>
      <c r="B391" s="13"/>
      <c r="C391" s="13"/>
      <c r="D391" s="31"/>
      <c r="E391" s="14" t="s">
        <v>50</v>
      </c>
      <c r="F391" s="14"/>
      <c r="G391" s="14"/>
      <c r="H391" s="14"/>
      <c r="I391" s="31"/>
      <c r="J391" s="31"/>
      <c r="K391" s="15"/>
      <c r="L391" s="15"/>
      <c r="M391" s="15"/>
      <c r="N391" s="15"/>
      <c r="O391" s="15"/>
      <c r="P391" s="14"/>
      <c r="Q391" s="14"/>
      <c r="R391" s="14"/>
      <c r="S391" s="14"/>
      <c r="T391" s="14"/>
      <c r="U391" s="14"/>
      <c r="V391" s="14"/>
      <c r="W391" s="14"/>
      <c r="X391" s="14"/>
      <c r="Y391" s="13"/>
      <c r="Z391" s="44"/>
      <c r="AA391" s="43"/>
      <c r="AB391" s="13"/>
      <c r="AC391" s="13"/>
      <c r="AD391" s="13"/>
      <c r="AE391" s="13"/>
      <c r="AF391" s="13"/>
      <c r="AG391" s="13"/>
      <c r="AH391" s="13"/>
      <c r="AI391" s="13"/>
      <c r="AJ391" s="13"/>
      <c r="AK391" s="44"/>
    </row>
    <row r="392" spans="1:38" ht="12.75" customHeight="1">
      <c r="A392" s="41">
        <v>462</v>
      </c>
      <c r="B392" s="10">
        <v>1149</v>
      </c>
      <c r="C392" s="10" t="s">
        <v>1171</v>
      </c>
      <c r="D392" s="16">
        <v>491.69</v>
      </c>
      <c r="E392" s="20" t="s">
        <v>1172</v>
      </c>
      <c r="F392" s="20" t="s">
        <v>1173</v>
      </c>
      <c r="G392" s="12">
        <v>1</v>
      </c>
      <c r="H392" s="12">
        <v>2</v>
      </c>
      <c r="I392" s="16">
        <f>ROUND(G392,0)</f>
        <v>1</v>
      </c>
      <c r="J392" s="16">
        <f>ROUND(H392,0)</f>
        <v>2</v>
      </c>
      <c r="K392" s="18" t="str">
        <f>IF(I392=J392,"TAM",(CONCATENATE(G392,"/",H392)))</f>
        <v>1/2</v>
      </c>
      <c r="L392" s="29">
        <f>491.69*1/2</f>
        <v>245.845</v>
      </c>
      <c r="M392" s="30">
        <v>0</v>
      </c>
      <c r="N392" s="16" t="str">
        <f>IF(M392=0,"0",(O392*M392))</f>
        <v>0</v>
      </c>
      <c r="O392" s="16">
        <f>IF(W392=1,L392,((D392*G392/H392)-P392)/(1-V392)-S392-T392)</f>
        <v>245.845</v>
      </c>
      <c r="P392" s="16">
        <v>0</v>
      </c>
      <c r="Q392" s="16">
        <f>IF(U392=0,"0",O392*U392)</f>
        <v>82.29721157484757</v>
      </c>
      <c r="R392" s="17">
        <f>IF(U392=0,(((D392*G392/H392)-P392-S392-T392)/(1-V392)),(((D392*G392/H392)-P392-S392-T392)/(1-V392))-((D392*G392/H392)-P392-S392-T392)*U392/(1-V392))</f>
        <v>163.54778842515242</v>
      </c>
      <c r="S392" s="12">
        <v>0</v>
      </c>
      <c r="T392" s="12">
        <v>0</v>
      </c>
      <c r="U392" s="12">
        <v>0.334752431714485</v>
      </c>
      <c r="V392" s="12">
        <v>0</v>
      </c>
      <c r="W392" s="28">
        <f>IF(V392&gt;U392,1,V392)</f>
        <v>0</v>
      </c>
      <c r="X392" s="12">
        <v>1</v>
      </c>
      <c r="Y392" s="16">
        <v>0</v>
      </c>
      <c r="Z392" s="42" t="str">
        <f>IF(OR(W392=1,W392=0),"0",(Q392-N392))</f>
        <v>0</v>
      </c>
      <c r="AA392" s="53" t="s">
        <v>1174</v>
      </c>
      <c r="AB392" s="16" t="s">
        <v>1176</v>
      </c>
      <c r="AC392" s="16">
        <v>17.46</v>
      </c>
      <c r="AD392" s="16">
        <v>2221.85</v>
      </c>
      <c r="AE392" s="16">
        <f>ROUND(AC392*100,0)</f>
        <v>1746</v>
      </c>
      <c r="AF392" s="16">
        <f>ROUND(AD392*100,0)</f>
        <v>222185</v>
      </c>
      <c r="AG392" s="19" t="str">
        <f>IF(AC392=AD392,"TAM",(CONCATENATE(AE392,"/",AF392)))</f>
        <v>1746/222185</v>
      </c>
      <c r="AH392" s="11" t="s">
        <v>50</v>
      </c>
      <c r="AI392" s="21" t="s">
        <v>50</v>
      </c>
      <c r="AJ392" s="21" t="s">
        <v>1175</v>
      </c>
      <c r="AK392" s="54" t="s">
        <v>50</v>
      </c>
      <c r="AL392" s="1" t="s">
        <v>50</v>
      </c>
    </row>
    <row r="393" spans="1:37" ht="12.75" customHeight="1">
      <c r="A393" s="43"/>
      <c r="B393" s="13"/>
      <c r="C393" s="13"/>
      <c r="D393" s="31"/>
      <c r="E393" s="14" t="s">
        <v>50</v>
      </c>
      <c r="F393" s="14"/>
      <c r="G393" s="14"/>
      <c r="H393" s="14"/>
      <c r="I393" s="31"/>
      <c r="J393" s="31"/>
      <c r="K393" s="15"/>
      <c r="L393" s="15"/>
      <c r="M393" s="15"/>
      <c r="N393" s="15"/>
      <c r="O393" s="15"/>
      <c r="P393" s="14"/>
      <c r="Q393" s="14"/>
      <c r="R393" s="14"/>
      <c r="S393" s="14"/>
      <c r="T393" s="14"/>
      <c r="U393" s="14"/>
      <c r="V393" s="14"/>
      <c r="W393" s="14"/>
      <c r="X393" s="14"/>
      <c r="Y393" s="13"/>
      <c r="Z393" s="44"/>
      <c r="AA393" s="43"/>
      <c r="AB393" s="13"/>
      <c r="AC393" s="13"/>
      <c r="AD393" s="13"/>
      <c r="AE393" s="13"/>
      <c r="AF393" s="13"/>
      <c r="AG393" s="13"/>
      <c r="AH393" s="13"/>
      <c r="AI393" s="13"/>
      <c r="AJ393" s="13"/>
      <c r="AK393" s="44"/>
    </row>
    <row r="394" spans="1:38" ht="12.75" customHeight="1">
      <c r="A394" s="41">
        <v>42</v>
      </c>
      <c r="B394" s="10">
        <v>1864</v>
      </c>
      <c r="C394" s="10" t="s">
        <v>1177</v>
      </c>
      <c r="D394" s="16">
        <v>1512.72</v>
      </c>
      <c r="E394" s="20" t="s">
        <v>1178</v>
      </c>
      <c r="F394" s="20" t="s">
        <v>1179</v>
      </c>
      <c r="G394" s="12">
        <v>1</v>
      </c>
      <c r="H394" s="12">
        <v>1</v>
      </c>
      <c r="I394" s="16">
        <f>ROUND(G394,0)</f>
        <v>1</v>
      </c>
      <c r="J394" s="16">
        <f>ROUND(H394,0)</f>
        <v>1</v>
      </c>
      <c r="K394" s="18" t="str">
        <f>IF(I394=J394,"TAM",(CONCATENATE(G394,"/",H394)))</f>
        <v>TAM</v>
      </c>
      <c r="L394" s="29">
        <f>1512.72*1/1</f>
        <v>1512.72</v>
      </c>
      <c r="M394" s="30">
        <v>0.0201212</v>
      </c>
      <c r="N394" s="16">
        <f>IF(M394=0,"0",(O394*M394))</f>
        <v>31.06276170481492</v>
      </c>
      <c r="O394" s="16">
        <f>IF(W394=1,L394,((D394*G394/H394)-P394)/(1-V394)-S394-T394)</f>
        <v>1543.782761704815</v>
      </c>
      <c r="P394" s="16">
        <v>0</v>
      </c>
      <c r="Q394" s="16">
        <f>IF(U394=0,"0",O394*U394)</f>
        <v>516.7850335195901</v>
      </c>
      <c r="R394" s="17">
        <f>IF(U394=0,(((D394*G394/H394)-P394-S394-T394)/(1-V394)),(((D394*G394/H394)-P394-S394-T394)/(1-V394))-((D394*G394/H394)-P394-S394-T394)*U394/(1-V394))</f>
        <v>1026.9977281852248</v>
      </c>
      <c r="S394" s="12">
        <v>0</v>
      </c>
      <c r="T394" s="12">
        <v>0</v>
      </c>
      <c r="U394" s="12">
        <v>0.334752431714485</v>
      </c>
      <c r="V394" s="12">
        <v>0.0201212</v>
      </c>
      <c r="W394" s="28">
        <f>IF(V394&gt;U394,1,V394)</f>
        <v>0.0201212</v>
      </c>
      <c r="X394" s="12">
        <v>1</v>
      </c>
      <c r="Y394" s="16">
        <v>0</v>
      </c>
      <c r="Z394" s="42">
        <f>IF(OR(W394=1,W394=0),"0",(Q394-N394))</f>
        <v>485.7222718147752</v>
      </c>
      <c r="AA394" s="53" t="s">
        <v>1180</v>
      </c>
      <c r="AB394" s="16" t="s">
        <v>1181</v>
      </c>
      <c r="AC394" s="16">
        <v>1027</v>
      </c>
      <c r="AD394" s="16">
        <v>1027</v>
      </c>
      <c r="AE394" s="16">
        <f>ROUND(AC394*100,0)</f>
        <v>102700</v>
      </c>
      <c r="AF394" s="16">
        <f>ROUND(AD394*100,0)</f>
        <v>102700</v>
      </c>
      <c r="AG394" s="19" t="str">
        <f>IF(AC394=AD394,"TAM",(CONCATENATE(AE394,"/",AF394)))</f>
        <v>TAM</v>
      </c>
      <c r="AH394" s="11" t="s">
        <v>50</v>
      </c>
      <c r="AI394" s="21" t="s">
        <v>50</v>
      </c>
      <c r="AJ394" s="71" t="s">
        <v>2425</v>
      </c>
      <c r="AK394" s="54" t="s">
        <v>50</v>
      </c>
      <c r="AL394" s="1" t="s">
        <v>50</v>
      </c>
    </row>
    <row r="395" spans="1:37" ht="12.75" customHeight="1">
      <c r="A395" s="43"/>
      <c r="B395" s="13"/>
      <c r="C395" s="13"/>
      <c r="D395" s="31"/>
      <c r="E395" s="14" t="s">
        <v>50</v>
      </c>
      <c r="F395" s="14"/>
      <c r="G395" s="14"/>
      <c r="H395" s="14"/>
      <c r="I395" s="31"/>
      <c r="J395" s="31"/>
      <c r="K395" s="15"/>
      <c r="L395" s="15"/>
      <c r="M395" s="15"/>
      <c r="N395" s="15"/>
      <c r="O395" s="15"/>
      <c r="P395" s="14"/>
      <c r="Q395" s="14"/>
      <c r="R395" s="14"/>
      <c r="S395" s="14"/>
      <c r="T395" s="14"/>
      <c r="U395" s="14"/>
      <c r="V395" s="14"/>
      <c r="W395" s="14"/>
      <c r="X395" s="14"/>
      <c r="Y395" s="13"/>
      <c r="Z395" s="44"/>
      <c r="AA395" s="43"/>
      <c r="AB395" s="13"/>
      <c r="AC395" s="13"/>
      <c r="AD395" s="13"/>
      <c r="AE395" s="13"/>
      <c r="AF395" s="13"/>
      <c r="AG395" s="13"/>
      <c r="AH395" s="13"/>
      <c r="AI395" s="13"/>
      <c r="AJ395" s="79"/>
      <c r="AK395" s="44"/>
    </row>
    <row r="396" spans="1:38" ht="12.75" customHeight="1">
      <c r="A396" s="41">
        <v>41</v>
      </c>
      <c r="B396" s="10">
        <v>1002</v>
      </c>
      <c r="C396" s="10" t="s">
        <v>1182</v>
      </c>
      <c r="D396" s="16">
        <v>338.26</v>
      </c>
      <c r="E396" s="20" t="s">
        <v>1183</v>
      </c>
      <c r="F396" s="20" t="s">
        <v>1184</v>
      </c>
      <c r="G396" s="12">
        <v>1</v>
      </c>
      <c r="H396" s="12">
        <v>3</v>
      </c>
      <c r="I396" s="16">
        <f>ROUND(G396,0)</f>
        <v>1</v>
      </c>
      <c r="J396" s="16">
        <f>ROUND(H396,0)</f>
        <v>3</v>
      </c>
      <c r="K396" s="18" t="str">
        <f>IF(I396=J396,"TAM",(CONCATENATE(G396,"/",H396)))</f>
        <v>1/3</v>
      </c>
      <c r="L396" s="29">
        <f>338.26*1/3</f>
        <v>112.75333333333333</v>
      </c>
      <c r="M396" s="30">
        <v>0</v>
      </c>
      <c r="N396" s="16" t="str">
        <f>IF(M396=0,"0",(O396*M396))</f>
        <v>0</v>
      </c>
      <c r="O396" s="16">
        <f>IF(W396=1,L396,((D396*G396/H396)-P396)/(1-V396)-S396-T396)</f>
        <v>112.75333333333333</v>
      </c>
      <c r="P396" s="16">
        <v>0</v>
      </c>
      <c r="Q396" s="16">
        <f>IF(U396=0,"0",O396*U396)</f>
        <v>37.74445251724723</v>
      </c>
      <c r="R396" s="17">
        <f>IF(U396=0,(((D396*G396/H396)-P396-S396-T396)/(1-V396)),(((D396*G396/H396)-P396-S396-T396)/(1-V396))-((D396*G396/H396)-P396-S396-T396)*U396/(1-V396))</f>
        <v>75.0088808160861</v>
      </c>
      <c r="S396" s="12">
        <v>0</v>
      </c>
      <c r="T396" s="12">
        <v>0</v>
      </c>
      <c r="U396" s="12">
        <v>0.334752431714485</v>
      </c>
      <c r="V396" s="12">
        <v>0</v>
      </c>
      <c r="W396" s="28">
        <f>IF(V396&gt;U396,1,V396)</f>
        <v>0</v>
      </c>
      <c r="X396" s="12">
        <v>1</v>
      </c>
      <c r="Y396" s="16">
        <v>0</v>
      </c>
      <c r="Z396" s="42" t="str">
        <f>IF(OR(W396=1,W396=0),"0",(Q396-N396))</f>
        <v>0</v>
      </c>
      <c r="AA396" s="53" t="s">
        <v>1185</v>
      </c>
      <c r="AB396" s="16" t="s">
        <v>1186</v>
      </c>
      <c r="AC396" s="16">
        <v>75.01</v>
      </c>
      <c r="AD396" s="16">
        <v>634.68</v>
      </c>
      <c r="AE396" s="16">
        <f>ROUND(AC396*100,0)</f>
        <v>7501</v>
      </c>
      <c r="AF396" s="16">
        <f>ROUND(AD396*100,0)</f>
        <v>63468</v>
      </c>
      <c r="AG396" s="19" t="str">
        <f>IF(AC396=AD396,"TAM",(CONCATENATE(AE396,"/",AF396)))</f>
        <v>7501/63468</v>
      </c>
      <c r="AH396" s="11" t="s">
        <v>50</v>
      </c>
      <c r="AI396" s="21" t="s">
        <v>50</v>
      </c>
      <c r="AJ396" s="80" t="s">
        <v>2431</v>
      </c>
      <c r="AK396" s="54" t="s">
        <v>50</v>
      </c>
      <c r="AL396" s="1" t="s">
        <v>50</v>
      </c>
    </row>
    <row r="397" spans="1:37" ht="12.75" customHeight="1">
      <c r="A397" s="43"/>
      <c r="B397" s="13"/>
      <c r="C397" s="13"/>
      <c r="D397" s="31"/>
      <c r="E397" s="14" t="s">
        <v>50</v>
      </c>
      <c r="F397" s="14"/>
      <c r="G397" s="14"/>
      <c r="H397" s="14"/>
      <c r="I397" s="31"/>
      <c r="J397" s="31"/>
      <c r="K397" s="15"/>
      <c r="L397" s="15"/>
      <c r="M397" s="15"/>
      <c r="N397" s="15"/>
      <c r="O397" s="15"/>
      <c r="P397" s="14"/>
      <c r="Q397" s="14"/>
      <c r="R397" s="14"/>
      <c r="S397" s="14"/>
      <c r="T397" s="14"/>
      <c r="U397" s="14"/>
      <c r="V397" s="14"/>
      <c r="W397" s="14"/>
      <c r="X397" s="14"/>
      <c r="Y397" s="13"/>
      <c r="Z397" s="44"/>
      <c r="AA397" s="43"/>
      <c r="AB397" s="13"/>
      <c r="AC397" s="13"/>
      <c r="AD397" s="13"/>
      <c r="AE397" s="13"/>
      <c r="AF397" s="13"/>
      <c r="AG397" s="13"/>
      <c r="AH397" s="13"/>
      <c r="AI397" s="13"/>
      <c r="AJ397" s="81"/>
      <c r="AK397" s="44"/>
    </row>
    <row r="398" spans="1:38" ht="12.75" customHeight="1">
      <c r="A398" s="41">
        <v>40</v>
      </c>
      <c r="B398" s="10">
        <v>1002</v>
      </c>
      <c r="C398" s="10" t="s">
        <v>1187</v>
      </c>
      <c r="D398" s="16">
        <v>338.26</v>
      </c>
      <c r="E398" s="20" t="s">
        <v>1188</v>
      </c>
      <c r="F398" s="20" t="s">
        <v>1189</v>
      </c>
      <c r="G398" s="12">
        <v>2</v>
      </c>
      <c r="H398" s="12">
        <v>3</v>
      </c>
      <c r="I398" s="16">
        <f>ROUND(G398,0)</f>
        <v>2</v>
      </c>
      <c r="J398" s="16">
        <f>ROUND(H398,0)</f>
        <v>3</v>
      </c>
      <c r="K398" s="18" t="str">
        <f>IF(I398=J398,"TAM",(CONCATENATE(G398,"/",H398)))</f>
        <v>2/3</v>
      </c>
      <c r="L398" s="29">
        <f>338.26*2/3</f>
        <v>225.50666666666666</v>
      </c>
      <c r="M398" s="30">
        <v>0</v>
      </c>
      <c r="N398" s="16" t="str">
        <f>IF(M398=0,"0",(O398*M398))</f>
        <v>0</v>
      </c>
      <c r="O398" s="16">
        <f>IF(W398=1,L398,((D398*G398/H398)-P398)/(1-V398)-S398-T398)</f>
        <v>225.50666666666666</v>
      </c>
      <c r="P398" s="16">
        <v>0</v>
      </c>
      <c r="Q398" s="16">
        <f>IF(U398=0,"0",O398*U398)</f>
        <v>75.48890503449446</v>
      </c>
      <c r="R398" s="17">
        <f>IF(U398=0,(((D398*G398/H398)-P398-S398-T398)/(1-V398)),(((D398*G398/H398)-P398-S398-T398)/(1-V398))-((D398*G398/H398)-P398-S398-T398)*U398/(1-V398))</f>
        <v>150.0177616321722</v>
      </c>
      <c r="S398" s="12">
        <v>0</v>
      </c>
      <c r="T398" s="12">
        <v>0</v>
      </c>
      <c r="U398" s="12">
        <v>0.334752431714485</v>
      </c>
      <c r="V398" s="12">
        <v>0</v>
      </c>
      <c r="W398" s="28">
        <f>IF(V398&gt;U398,1,V398)</f>
        <v>0</v>
      </c>
      <c r="X398" s="12">
        <v>1</v>
      </c>
      <c r="Y398" s="16">
        <v>0</v>
      </c>
      <c r="Z398" s="42" t="str">
        <f>IF(OR(W398=1,W398=0),"0",(Q398-N398))</f>
        <v>0</v>
      </c>
      <c r="AA398" s="53" t="s">
        <v>1191</v>
      </c>
      <c r="AB398" s="16" t="s">
        <v>1192</v>
      </c>
      <c r="AC398" s="16">
        <v>150.02</v>
      </c>
      <c r="AD398" s="16">
        <v>634.68</v>
      </c>
      <c r="AE398" s="16">
        <f>ROUND(AC398*100,0)</f>
        <v>15002</v>
      </c>
      <c r="AF398" s="16">
        <f>ROUND(AD398*100,0)</f>
        <v>63468</v>
      </c>
      <c r="AG398" s="19" t="str">
        <f>IF(AC398=AD398,"TAM",(CONCATENATE(AE398,"/",AF398)))</f>
        <v>15002/63468</v>
      </c>
      <c r="AH398" s="11" t="s">
        <v>50</v>
      </c>
      <c r="AI398" s="21" t="s">
        <v>50</v>
      </c>
      <c r="AJ398" s="77" t="s">
        <v>2431</v>
      </c>
      <c r="AK398" s="54" t="s">
        <v>50</v>
      </c>
      <c r="AL398" s="1" t="s">
        <v>50</v>
      </c>
    </row>
    <row r="399" spans="1:37" ht="31.5" customHeight="1">
      <c r="A399" s="43"/>
      <c r="B399" s="13"/>
      <c r="C399" s="13"/>
      <c r="D399" s="31"/>
      <c r="E399" s="34" t="s">
        <v>1190</v>
      </c>
      <c r="F399" s="14"/>
      <c r="G399" s="14"/>
      <c r="H399" s="14"/>
      <c r="I399" s="31"/>
      <c r="J399" s="31"/>
      <c r="K399" s="15"/>
      <c r="L399" s="15"/>
      <c r="M399" s="15"/>
      <c r="N399" s="15"/>
      <c r="O399" s="15"/>
      <c r="P399" s="14"/>
      <c r="Q399" s="14"/>
      <c r="R399" s="14"/>
      <c r="S399" s="14"/>
      <c r="T399" s="14"/>
      <c r="U399" s="14"/>
      <c r="V399" s="14"/>
      <c r="W399" s="14"/>
      <c r="X399" s="14"/>
      <c r="Y399" s="13"/>
      <c r="Z399" s="44"/>
      <c r="AA399" s="43"/>
      <c r="AB399" s="13"/>
      <c r="AC399" s="13"/>
      <c r="AD399" s="13"/>
      <c r="AE399" s="13"/>
      <c r="AF399" s="13"/>
      <c r="AG399" s="13"/>
      <c r="AH399" s="13"/>
      <c r="AI399" s="13"/>
      <c r="AJ399" s="78"/>
      <c r="AK399" s="44"/>
    </row>
    <row r="400" spans="1:38" ht="12.75" customHeight="1">
      <c r="A400" s="41">
        <v>43</v>
      </c>
      <c r="B400" s="10">
        <v>1865</v>
      </c>
      <c r="C400" s="10" t="s">
        <v>1193</v>
      </c>
      <c r="D400" s="16">
        <v>507.48</v>
      </c>
      <c r="E400" s="20" t="s">
        <v>1194</v>
      </c>
      <c r="F400" s="20" t="s">
        <v>1195</v>
      </c>
      <c r="G400" s="12">
        <v>1</v>
      </c>
      <c r="H400" s="12">
        <v>1</v>
      </c>
      <c r="I400" s="16">
        <f>ROUND(G400,0)</f>
        <v>1</v>
      </c>
      <c r="J400" s="16">
        <f>ROUND(H400,0)</f>
        <v>1</v>
      </c>
      <c r="K400" s="18" t="str">
        <f>IF(I400=J400,"TAM",(CONCATENATE(G400,"/",H400)))</f>
        <v>TAM</v>
      </c>
      <c r="L400" s="29">
        <f>507.48*1/1</f>
        <v>507.48</v>
      </c>
      <c r="M400" s="30">
        <v>0.0201212</v>
      </c>
      <c r="N400" s="16">
        <f>IF(M400=0,"0",(O400*M400))</f>
        <v>10.420785280791868</v>
      </c>
      <c r="O400" s="16">
        <f>IF(W400=1,L400,((D400*G400/H400)-P400)/(1-V400)-S400-T400)</f>
        <v>517.9007852807919</v>
      </c>
      <c r="P400" s="16">
        <v>0</v>
      </c>
      <c r="Q400" s="16">
        <f>IF(U400=0,"0",O400*U400)</f>
        <v>173.36854725958642</v>
      </c>
      <c r="R400" s="17">
        <f>IF(U400=0,(((D400*G400/H400)-P400-S400-T400)/(1-V400)),(((D400*G400/H400)-P400-S400-T400)/(1-V400))-((D400*G400/H400)-P400-S400-T400)*U400/(1-V400))</f>
        <v>344.53223802120544</v>
      </c>
      <c r="S400" s="12">
        <v>0</v>
      </c>
      <c r="T400" s="12">
        <v>0</v>
      </c>
      <c r="U400" s="12">
        <v>0.334752431714485</v>
      </c>
      <c r="V400" s="12">
        <v>0.0201212</v>
      </c>
      <c r="W400" s="28">
        <f>IF(V400&gt;U400,1,V400)</f>
        <v>0.0201212</v>
      </c>
      <c r="X400" s="12">
        <v>1</v>
      </c>
      <c r="Y400" s="16">
        <v>0</v>
      </c>
      <c r="Z400" s="42">
        <f>IF(OR(W400=1,W400=0),"0",(Q400-N400))</f>
        <v>162.94776197879455</v>
      </c>
      <c r="AA400" s="53" t="s">
        <v>1196</v>
      </c>
      <c r="AB400" s="16" t="s">
        <v>1197</v>
      </c>
      <c r="AC400" s="16">
        <v>344.53</v>
      </c>
      <c r="AD400" s="16">
        <v>634.68</v>
      </c>
      <c r="AE400" s="16">
        <f>ROUND(AC400*100,0)</f>
        <v>34453</v>
      </c>
      <c r="AF400" s="16">
        <f>ROUND(AD400*100,0)</f>
        <v>63468</v>
      </c>
      <c r="AG400" s="19" t="str">
        <f>IF(AC400=AD400,"TAM",(CONCATENATE(AE400,"/",AF400)))</f>
        <v>34453/63468</v>
      </c>
      <c r="AH400" s="11" t="s">
        <v>50</v>
      </c>
      <c r="AI400" s="21" t="s">
        <v>50</v>
      </c>
      <c r="AJ400" s="80" t="s">
        <v>2431</v>
      </c>
      <c r="AK400" s="54" t="s">
        <v>50</v>
      </c>
      <c r="AL400" s="1" t="s">
        <v>50</v>
      </c>
    </row>
    <row r="401" spans="1:37" ht="12.75" customHeight="1">
      <c r="A401" s="43"/>
      <c r="B401" s="13"/>
      <c r="C401" s="13"/>
      <c r="D401" s="31"/>
      <c r="E401" s="14" t="s">
        <v>50</v>
      </c>
      <c r="F401" s="14"/>
      <c r="G401" s="14"/>
      <c r="H401" s="14"/>
      <c r="I401" s="31"/>
      <c r="J401" s="31"/>
      <c r="K401" s="15"/>
      <c r="L401" s="15"/>
      <c r="M401" s="15"/>
      <c r="N401" s="15"/>
      <c r="O401" s="15"/>
      <c r="P401" s="14"/>
      <c r="Q401" s="14"/>
      <c r="R401" s="14"/>
      <c r="S401" s="14"/>
      <c r="T401" s="14"/>
      <c r="U401" s="14"/>
      <c r="V401" s="14"/>
      <c r="W401" s="14"/>
      <c r="X401" s="14"/>
      <c r="Y401" s="13"/>
      <c r="Z401" s="44"/>
      <c r="AA401" s="43"/>
      <c r="AB401" s="13"/>
      <c r="AC401" s="13"/>
      <c r="AD401" s="13"/>
      <c r="AE401" s="13"/>
      <c r="AF401" s="13"/>
      <c r="AG401" s="13"/>
      <c r="AH401" s="13"/>
      <c r="AI401" s="13"/>
      <c r="AJ401" s="81"/>
      <c r="AK401" s="44"/>
    </row>
    <row r="402" spans="1:38" ht="12.75" customHeight="1">
      <c r="A402" s="41">
        <v>461</v>
      </c>
      <c r="B402" s="10">
        <v>1141</v>
      </c>
      <c r="C402" s="10" t="s">
        <v>1198</v>
      </c>
      <c r="D402" s="16">
        <v>1230.41</v>
      </c>
      <c r="E402" s="20" t="s">
        <v>1199</v>
      </c>
      <c r="F402" s="20" t="s">
        <v>1200</v>
      </c>
      <c r="G402" s="12">
        <v>1</v>
      </c>
      <c r="H402" s="12">
        <v>1</v>
      </c>
      <c r="I402" s="16">
        <f>ROUND(G402,0)</f>
        <v>1</v>
      </c>
      <c r="J402" s="16">
        <f>ROUND(H402,0)</f>
        <v>1</v>
      </c>
      <c r="K402" s="18" t="str">
        <f>IF(I402=J402,"TAM",(CONCATENATE(G402,"/",H402)))</f>
        <v>TAM</v>
      </c>
      <c r="L402" s="29">
        <f>1230.41*1/1</f>
        <v>1230.41</v>
      </c>
      <c r="M402" s="30">
        <v>0</v>
      </c>
      <c r="N402" s="16" t="str">
        <f>IF(M402=0,"0",(O402*M402))</f>
        <v>0</v>
      </c>
      <c r="O402" s="16">
        <f>IF(W402=1,L402,((D402*G402/H402)-P402)/(1-V402)-S402-T402)</f>
        <v>1230.41</v>
      </c>
      <c r="P402" s="16">
        <v>0</v>
      </c>
      <c r="Q402" s="16">
        <f>IF(U402=0,"0",O402*U402)</f>
        <v>411.88273950581953</v>
      </c>
      <c r="R402" s="17">
        <f>IF(U402=0,(((D402*G402/H402)-P402-S402-T402)/(1-V402)),(((D402*G402/H402)-P402-S402-T402)/(1-V402))-((D402*G402/H402)-P402-S402-T402)*U402/(1-V402))</f>
        <v>818.5272604941806</v>
      </c>
      <c r="S402" s="12">
        <v>0</v>
      </c>
      <c r="T402" s="12">
        <v>0</v>
      </c>
      <c r="U402" s="12">
        <v>0.334752431714485</v>
      </c>
      <c r="V402" s="12">
        <v>0</v>
      </c>
      <c r="W402" s="28">
        <f>IF(V402&gt;U402,1,V402)</f>
        <v>0</v>
      </c>
      <c r="X402" s="12">
        <v>1</v>
      </c>
      <c r="Y402" s="16">
        <v>0</v>
      </c>
      <c r="Z402" s="42" t="str">
        <f>IF(OR(W402=1,W402=0),"0",(Q402-N402))</f>
        <v>0</v>
      </c>
      <c r="AA402" s="53" t="s">
        <v>1201</v>
      </c>
      <c r="AB402" s="16" t="s">
        <v>1202</v>
      </c>
      <c r="AC402" s="16">
        <v>65.12</v>
      </c>
      <c r="AD402" s="16">
        <v>634.68</v>
      </c>
      <c r="AE402" s="16">
        <f>ROUND(AC402*100,0)</f>
        <v>6512</v>
      </c>
      <c r="AF402" s="16">
        <f>ROUND(AD402*100,0)</f>
        <v>63468</v>
      </c>
      <c r="AG402" s="19" t="str">
        <f>IF(AC402=AD402,"TAM",(CONCATENATE(AE402,"/",AF402)))</f>
        <v>6512/63468</v>
      </c>
      <c r="AH402" s="11" t="s">
        <v>50</v>
      </c>
      <c r="AI402" s="21" t="s">
        <v>50</v>
      </c>
      <c r="AJ402" s="80" t="s">
        <v>2431</v>
      </c>
      <c r="AK402" s="54" t="s">
        <v>50</v>
      </c>
      <c r="AL402" s="1" t="s">
        <v>50</v>
      </c>
    </row>
    <row r="403" spans="1:37" ht="12.75" customHeight="1">
      <c r="A403" s="43"/>
      <c r="B403" s="13"/>
      <c r="C403" s="13"/>
      <c r="D403" s="31"/>
      <c r="E403" s="14" t="s">
        <v>50</v>
      </c>
      <c r="F403" s="14"/>
      <c r="G403" s="14"/>
      <c r="H403" s="14"/>
      <c r="I403" s="31"/>
      <c r="J403" s="31"/>
      <c r="K403" s="15"/>
      <c r="L403" s="15"/>
      <c r="M403" s="15"/>
      <c r="N403" s="15"/>
      <c r="O403" s="15"/>
      <c r="P403" s="14"/>
      <c r="Q403" s="14"/>
      <c r="R403" s="14"/>
      <c r="S403" s="14"/>
      <c r="T403" s="14"/>
      <c r="U403" s="14"/>
      <c r="V403" s="14"/>
      <c r="W403" s="14"/>
      <c r="X403" s="14"/>
      <c r="Y403" s="13"/>
      <c r="Z403" s="44"/>
      <c r="AA403" s="43"/>
      <c r="AB403" s="13"/>
      <c r="AC403" s="13"/>
      <c r="AD403" s="13"/>
      <c r="AE403" s="13"/>
      <c r="AF403" s="13"/>
      <c r="AG403" s="13"/>
      <c r="AH403" s="13"/>
      <c r="AI403" s="13"/>
      <c r="AJ403" s="81"/>
      <c r="AK403" s="44"/>
    </row>
    <row r="404" spans="1:38" ht="12.75" customHeight="1">
      <c r="A404" s="41">
        <v>154</v>
      </c>
      <c r="B404" s="10">
        <v>1049</v>
      </c>
      <c r="C404" s="10" t="s">
        <v>1203</v>
      </c>
      <c r="D404" s="16">
        <v>595.79</v>
      </c>
      <c r="E404" s="20" t="s">
        <v>1204</v>
      </c>
      <c r="F404" s="20" t="s">
        <v>1205</v>
      </c>
      <c r="G404" s="12">
        <v>1</v>
      </c>
      <c r="H404" s="12">
        <v>2</v>
      </c>
      <c r="I404" s="16">
        <f>ROUND(G404,0)</f>
        <v>1</v>
      </c>
      <c r="J404" s="16">
        <f>ROUND(H404,0)</f>
        <v>2</v>
      </c>
      <c r="K404" s="18" t="str">
        <f>IF(I404=J404,"TAM",(CONCATENATE(G404,"/",H404)))</f>
        <v>1/2</v>
      </c>
      <c r="L404" s="29">
        <f>595.79*1/2</f>
        <v>297.895</v>
      </c>
      <c r="M404" s="30">
        <v>0</v>
      </c>
      <c r="N404" s="16" t="str">
        <f>IF(M404=0,"0",(O404*M404))</f>
        <v>0</v>
      </c>
      <c r="O404" s="16">
        <f>IF(W404=1,L404,((D404*G404/H404)-P404)/(1-V404)-S404-T404)</f>
        <v>297.895</v>
      </c>
      <c r="P404" s="16">
        <v>0</v>
      </c>
      <c r="Q404" s="16">
        <f>IF(U404=0,"0",O404*U404)</f>
        <v>99.7210756455865</v>
      </c>
      <c r="R404" s="17">
        <f>IF(U404=0,(((D404*G404/H404)-P404-S404-T404)/(1-V404)),(((D404*G404/H404)-P404-S404-T404)/(1-V404))-((D404*G404/H404)-P404-S404-T404)*U404/(1-V404))</f>
        <v>198.1739243544135</v>
      </c>
      <c r="S404" s="12">
        <v>0</v>
      </c>
      <c r="T404" s="12">
        <v>0</v>
      </c>
      <c r="U404" s="12">
        <v>0.334752431714485</v>
      </c>
      <c r="V404" s="12">
        <v>0</v>
      </c>
      <c r="W404" s="28">
        <f>IF(V404&gt;U404,1,V404)</f>
        <v>0</v>
      </c>
      <c r="X404" s="12">
        <v>1</v>
      </c>
      <c r="Y404" s="16">
        <v>0</v>
      </c>
      <c r="Z404" s="42" t="str">
        <f>IF(OR(W404=1,W404=0),"0",(Q404-N404))</f>
        <v>0</v>
      </c>
      <c r="AA404" s="53" t="s">
        <v>1206</v>
      </c>
      <c r="AB404" s="16" t="s">
        <v>1207</v>
      </c>
      <c r="AC404" s="16">
        <v>37.39</v>
      </c>
      <c r="AD404" s="16">
        <v>603.05</v>
      </c>
      <c r="AE404" s="16">
        <f>ROUND(AC404*100,0)</f>
        <v>3739</v>
      </c>
      <c r="AF404" s="16">
        <f>ROUND(AD404*100,0)</f>
        <v>60305</v>
      </c>
      <c r="AG404" s="19" t="str">
        <f>IF(AC404=AD404,"TAM",(CONCATENATE(AE404,"/",AF404)))</f>
        <v>3739/60305</v>
      </c>
      <c r="AH404" s="11" t="s">
        <v>50</v>
      </c>
      <c r="AI404" s="21" t="s">
        <v>50</v>
      </c>
      <c r="AJ404" s="71" t="s">
        <v>2425</v>
      </c>
      <c r="AK404" s="54" t="s">
        <v>50</v>
      </c>
      <c r="AL404" s="1" t="s">
        <v>50</v>
      </c>
    </row>
    <row r="405" spans="1:37" ht="12.75" customHeight="1">
      <c r="A405" s="43"/>
      <c r="B405" s="13"/>
      <c r="C405" s="13"/>
      <c r="D405" s="31"/>
      <c r="E405" s="14" t="s">
        <v>50</v>
      </c>
      <c r="F405" s="14"/>
      <c r="G405" s="14"/>
      <c r="H405" s="14"/>
      <c r="I405" s="31"/>
      <c r="J405" s="31"/>
      <c r="K405" s="15"/>
      <c r="L405" s="15"/>
      <c r="M405" s="15"/>
      <c r="N405" s="15"/>
      <c r="O405" s="15"/>
      <c r="P405" s="14"/>
      <c r="Q405" s="14"/>
      <c r="R405" s="14"/>
      <c r="S405" s="14"/>
      <c r="T405" s="14"/>
      <c r="U405" s="14"/>
      <c r="V405" s="14"/>
      <c r="W405" s="14"/>
      <c r="X405" s="14"/>
      <c r="Y405" s="13"/>
      <c r="Z405" s="44"/>
      <c r="AA405" s="43"/>
      <c r="AB405" s="13"/>
      <c r="AC405" s="13"/>
      <c r="AD405" s="13"/>
      <c r="AE405" s="13"/>
      <c r="AF405" s="13"/>
      <c r="AG405" s="13"/>
      <c r="AH405" s="13"/>
      <c r="AI405" s="13"/>
      <c r="AJ405" s="72"/>
      <c r="AK405" s="44"/>
    </row>
    <row r="406" spans="1:38" ht="12.75" customHeight="1">
      <c r="A406" s="41">
        <v>153</v>
      </c>
      <c r="B406" s="10">
        <v>1049</v>
      </c>
      <c r="C406" s="10" t="s">
        <v>1208</v>
      </c>
      <c r="D406" s="16">
        <v>595.79</v>
      </c>
      <c r="E406" s="20" t="s">
        <v>1209</v>
      </c>
      <c r="F406" s="20" t="s">
        <v>1210</v>
      </c>
      <c r="G406" s="12">
        <v>1</v>
      </c>
      <c r="H406" s="12">
        <v>2</v>
      </c>
      <c r="I406" s="16">
        <f>ROUND(G406,0)</f>
        <v>1</v>
      </c>
      <c r="J406" s="16">
        <f>ROUND(H406,0)</f>
        <v>2</v>
      </c>
      <c r="K406" s="18" t="str">
        <f>IF(I406=J406,"TAM",(CONCATENATE(G406,"/",H406)))</f>
        <v>1/2</v>
      </c>
      <c r="L406" s="29">
        <f>595.79*1/2</f>
        <v>297.895</v>
      </c>
      <c r="M406" s="30">
        <v>0</v>
      </c>
      <c r="N406" s="16" t="str">
        <f>IF(M406=0,"0",(O406*M406))</f>
        <v>0</v>
      </c>
      <c r="O406" s="16">
        <f>IF(W406=1,L406,((D406*G406/H406)-P406)/(1-V406)-S406-T406)</f>
        <v>297.895</v>
      </c>
      <c r="P406" s="16">
        <v>0</v>
      </c>
      <c r="Q406" s="16">
        <f>IF(U406=0,"0",O406*U406)</f>
        <v>99.7210756455865</v>
      </c>
      <c r="R406" s="17">
        <f>IF(U406=0,(((D406*G406/H406)-P406-S406-T406)/(1-V406)),(((D406*G406/H406)-P406-S406-T406)/(1-V406))-((D406*G406/H406)-P406-S406-T406)*U406/(1-V406))</f>
        <v>198.1739243544135</v>
      </c>
      <c r="S406" s="12">
        <v>0</v>
      </c>
      <c r="T406" s="12">
        <v>0</v>
      </c>
      <c r="U406" s="12">
        <v>0.334752431714485</v>
      </c>
      <c r="V406" s="12">
        <v>0</v>
      </c>
      <c r="W406" s="28">
        <f>IF(V406&gt;U406,1,V406)</f>
        <v>0</v>
      </c>
      <c r="X406" s="12">
        <v>1</v>
      </c>
      <c r="Y406" s="16">
        <v>0</v>
      </c>
      <c r="Z406" s="42" t="str">
        <f>IF(OR(W406=1,W406=0),"0",(Q406-N406))</f>
        <v>0</v>
      </c>
      <c r="AA406" s="53" t="s">
        <v>1211</v>
      </c>
      <c r="AB406" s="16" t="s">
        <v>1212</v>
      </c>
      <c r="AC406" s="16">
        <v>37.38</v>
      </c>
      <c r="AD406" s="16">
        <v>603.05</v>
      </c>
      <c r="AE406" s="16">
        <f>ROUND(AC406*100,0)</f>
        <v>3738</v>
      </c>
      <c r="AF406" s="16">
        <f>ROUND(AD406*100,0)</f>
        <v>60305</v>
      </c>
      <c r="AG406" s="19" t="str">
        <f>IF(AC406=AD406,"TAM",(CONCATENATE(AE406,"/",AF406)))</f>
        <v>3738/60305</v>
      </c>
      <c r="AH406" s="11" t="s">
        <v>50</v>
      </c>
      <c r="AI406" s="21" t="s">
        <v>50</v>
      </c>
      <c r="AJ406" s="71" t="s">
        <v>2425</v>
      </c>
      <c r="AK406" s="54" t="s">
        <v>50</v>
      </c>
      <c r="AL406" s="1" t="s">
        <v>50</v>
      </c>
    </row>
    <row r="407" spans="1:37" ht="12.75" customHeight="1">
      <c r="A407" s="43"/>
      <c r="B407" s="13"/>
      <c r="C407" s="13"/>
      <c r="D407" s="31"/>
      <c r="E407" s="14" t="s">
        <v>50</v>
      </c>
      <c r="F407" s="14"/>
      <c r="G407" s="14"/>
      <c r="H407" s="14"/>
      <c r="I407" s="31"/>
      <c r="J407" s="31"/>
      <c r="K407" s="15"/>
      <c r="L407" s="15"/>
      <c r="M407" s="15"/>
      <c r="N407" s="15"/>
      <c r="O407" s="15"/>
      <c r="P407" s="14"/>
      <c r="Q407" s="14"/>
      <c r="R407" s="14"/>
      <c r="S407" s="14"/>
      <c r="T407" s="14"/>
      <c r="U407" s="14"/>
      <c r="V407" s="14"/>
      <c r="W407" s="14"/>
      <c r="X407" s="14"/>
      <c r="Y407" s="13"/>
      <c r="Z407" s="44"/>
      <c r="AA407" s="43"/>
      <c r="AB407" s="13"/>
      <c r="AC407" s="13"/>
      <c r="AD407" s="13"/>
      <c r="AE407" s="13"/>
      <c r="AF407" s="13"/>
      <c r="AG407" s="13"/>
      <c r="AH407" s="13"/>
      <c r="AI407" s="13"/>
      <c r="AJ407" s="72"/>
      <c r="AK407" s="44"/>
    </row>
    <row r="408" spans="1:38" ht="12.75" customHeight="1">
      <c r="A408" s="41">
        <v>407</v>
      </c>
      <c r="B408" s="10">
        <v>1127</v>
      </c>
      <c r="C408" s="10" t="s">
        <v>1213</v>
      </c>
      <c r="D408" s="16">
        <v>126.77</v>
      </c>
      <c r="E408" s="20" t="s">
        <v>1214</v>
      </c>
      <c r="F408" s="20" t="s">
        <v>1215</v>
      </c>
      <c r="G408" s="12">
        <v>1</v>
      </c>
      <c r="H408" s="12">
        <v>1</v>
      </c>
      <c r="I408" s="16">
        <f>ROUND(G408,0)</f>
        <v>1</v>
      </c>
      <c r="J408" s="16">
        <f>ROUND(H408,0)</f>
        <v>1</v>
      </c>
      <c r="K408" s="18" t="str">
        <f>IF(I408=J408,"TAM",(CONCATENATE(G408,"/",H408)))</f>
        <v>TAM</v>
      </c>
      <c r="L408" s="29">
        <f>126.77*1/1</f>
        <v>126.77</v>
      </c>
      <c r="M408" s="30">
        <v>0</v>
      </c>
      <c r="N408" s="16" t="str">
        <f>IF(M408=0,"0",(O408*M408))</f>
        <v>0</v>
      </c>
      <c r="O408" s="16">
        <f>IF(W408=1,L408,((D408*G408/H408)-P408)/(1-V408)-S408-T408)</f>
        <v>126.77</v>
      </c>
      <c r="P408" s="16">
        <v>0</v>
      </c>
      <c r="Q408" s="16">
        <f>IF(U408=0,"0",O408*U408)</f>
        <v>42.43656576844526</v>
      </c>
      <c r="R408" s="17">
        <f>IF(U408=0,(((D408*G408/H408)-P408-S408-T408)/(1-V408)),(((D408*G408/H408)-P408-S408-T408)/(1-V408))-((D408*G408/H408)-P408-S408-T408)*U408/(1-V408))</f>
        <v>84.33343423155473</v>
      </c>
      <c r="S408" s="12">
        <v>0</v>
      </c>
      <c r="T408" s="12">
        <v>0</v>
      </c>
      <c r="U408" s="12">
        <v>0.334752431714485</v>
      </c>
      <c r="V408" s="12">
        <v>0</v>
      </c>
      <c r="W408" s="28">
        <f>IF(V408&gt;U408,1,V408)</f>
        <v>0</v>
      </c>
      <c r="X408" s="12">
        <v>1</v>
      </c>
      <c r="Y408" s="16">
        <v>0</v>
      </c>
      <c r="Z408" s="42" t="str">
        <f>IF(OR(W408=1,W408=0),"0",(Q408-N408))</f>
        <v>0</v>
      </c>
      <c r="AA408" s="53" t="s">
        <v>1216</v>
      </c>
      <c r="AB408" s="16" t="s">
        <v>1217</v>
      </c>
      <c r="AC408" s="16">
        <v>84.33</v>
      </c>
      <c r="AD408" s="16">
        <v>603.05</v>
      </c>
      <c r="AE408" s="16">
        <f>ROUND(AC408*100,0)</f>
        <v>8433</v>
      </c>
      <c r="AF408" s="16">
        <f>ROUND(AD408*100,0)</f>
        <v>60305</v>
      </c>
      <c r="AG408" s="19" t="str">
        <f>IF(AC408=AD408,"TAM",(CONCATENATE(AE408,"/",AF408)))</f>
        <v>8433/60305</v>
      </c>
      <c r="AH408" s="11" t="s">
        <v>50</v>
      </c>
      <c r="AI408" s="21" t="s">
        <v>50</v>
      </c>
      <c r="AJ408" s="71" t="s">
        <v>2425</v>
      </c>
      <c r="AK408" s="54" t="s">
        <v>50</v>
      </c>
      <c r="AL408" s="1" t="s">
        <v>50</v>
      </c>
    </row>
    <row r="409" spans="1:37" ht="12.75" customHeight="1">
      <c r="A409" s="43"/>
      <c r="B409" s="13"/>
      <c r="C409" s="13"/>
      <c r="D409" s="31"/>
      <c r="E409" s="14" t="s">
        <v>50</v>
      </c>
      <c r="F409" s="14"/>
      <c r="G409" s="14"/>
      <c r="H409" s="14"/>
      <c r="I409" s="31"/>
      <c r="J409" s="31"/>
      <c r="K409" s="15"/>
      <c r="L409" s="15"/>
      <c r="M409" s="15"/>
      <c r="N409" s="15"/>
      <c r="O409" s="15"/>
      <c r="P409" s="14"/>
      <c r="Q409" s="14"/>
      <c r="R409" s="14"/>
      <c r="S409" s="14"/>
      <c r="T409" s="14"/>
      <c r="U409" s="14"/>
      <c r="V409" s="14"/>
      <c r="W409" s="14"/>
      <c r="X409" s="14"/>
      <c r="Y409" s="13"/>
      <c r="Z409" s="44"/>
      <c r="AA409" s="43"/>
      <c r="AB409" s="13"/>
      <c r="AC409" s="13"/>
      <c r="AD409" s="13"/>
      <c r="AE409" s="13"/>
      <c r="AF409" s="13"/>
      <c r="AG409" s="13"/>
      <c r="AH409" s="13"/>
      <c r="AI409" s="13"/>
      <c r="AJ409" s="72"/>
      <c r="AK409" s="44"/>
    </row>
    <row r="410" spans="1:38" ht="12.75" customHeight="1">
      <c r="A410" s="41">
        <v>409</v>
      </c>
      <c r="B410" s="10">
        <v>1128</v>
      </c>
      <c r="C410" s="10" t="s">
        <v>1218</v>
      </c>
      <c r="D410" s="16">
        <v>667.34</v>
      </c>
      <c r="E410" s="20" t="s">
        <v>1219</v>
      </c>
      <c r="F410" s="20" t="s">
        <v>1220</v>
      </c>
      <c r="G410" s="12">
        <v>1</v>
      </c>
      <c r="H410" s="12">
        <v>3</v>
      </c>
      <c r="I410" s="16">
        <f>ROUND(G410,0)</f>
        <v>1</v>
      </c>
      <c r="J410" s="16">
        <f>ROUND(H410,0)</f>
        <v>3</v>
      </c>
      <c r="K410" s="18" t="str">
        <f>IF(I410=J410,"TAM",(CONCATENATE(G410,"/",H410)))</f>
        <v>1/3</v>
      </c>
      <c r="L410" s="29">
        <f>667.34*1/3</f>
        <v>222.44666666666666</v>
      </c>
      <c r="M410" s="30">
        <v>0</v>
      </c>
      <c r="N410" s="16" t="str">
        <f>IF(M410=0,"0",(O410*M410))</f>
        <v>0</v>
      </c>
      <c r="O410" s="16">
        <f>IF(W410=1,L410,((D410*G410/H410)-P410)/(1-V410)-S410-T410)</f>
        <v>222.4466666666667</v>
      </c>
      <c r="P410" s="16">
        <v>0</v>
      </c>
      <c r="Q410" s="16">
        <f>IF(U410=0,"0",O410*U410)</f>
        <v>74.46456259344815</v>
      </c>
      <c r="R410" s="17">
        <f>IF(U410=0,(((D410*G410/H410)-P410-S410-T410)/(1-V410)),(((D410*G410/H410)-P410-S410-T410)/(1-V410))-((D410*G410/H410)-P410-S410-T410)*U410/(1-V410))</f>
        <v>147.98210407321852</v>
      </c>
      <c r="S410" s="12">
        <v>0</v>
      </c>
      <c r="T410" s="12">
        <v>0</v>
      </c>
      <c r="U410" s="12">
        <v>0.334752431714485</v>
      </c>
      <c r="V410" s="12">
        <v>0</v>
      </c>
      <c r="W410" s="28">
        <f>IF(V410&gt;U410,1,V410)</f>
        <v>0</v>
      </c>
      <c r="X410" s="12">
        <v>1</v>
      </c>
      <c r="Y410" s="16">
        <v>0</v>
      </c>
      <c r="Z410" s="42" t="str">
        <f>IF(OR(W410=1,W410=0),"0",(Q410-N410))</f>
        <v>0</v>
      </c>
      <c r="AA410" s="53" t="s">
        <v>1221</v>
      </c>
      <c r="AB410" s="16" t="s">
        <v>1222</v>
      </c>
      <c r="AC410" s="16">
        <v>147.99</v>
      </c>
      <c r="AD410" s="16">
        <v>603.05</v>
      </c>
      <c r="AE410" s="16">
        <f>ROUND(AC410*100,0)</f>
        <v>14799</v>
      </c>
      <c r="AF410" s="16">
        <f>ROUND(AD410*100,0)</f>
        <v>60305</v>
      </c>
      <c r="AG410" s="19" t="str">
        <f>IF(AC410=AD410,"TAM",(CONCATENATE(AE410,"/",AF410)))</f>
        <v>14799/60305</v>
      </c>
      <c r="AH410" s="11" t="s">
        <v>50</v>
      </c>
      <c r="AI410" s="21" t="s">
        <v>50</v>
      </c>
      <c r="AJ410" s="71" t="s">
        <v>2425</v>
      </c>
      <c r="AK410" s="54" t="s">
        <v>50</v>
      </c>
      <c r="AL410" s="1" t="s">
        <v>50</v>
      </c>
    </row>
    <row r="411" spans="1:37" ht="12.75" customHeight="1">
      <c r="A411" s="43"/>
      <c r="B411" s="13"/>
      <c r="C411" s="13"/>
      <c r="D411" s="31"/>
      <c r="E411" s="14" t="s">
        <v>50</v>
      </c>
      <c r="F411" s="14"/>
      <c r="G411" s="14"/>
      <c r="H411" s="14"/>
      <c r="I411" s="31"/>
      <c r="J411" s="31"/>
      <c r="K411" s="15"/>
      <c r="L411" s="15"/>
      <c r="M411" s="15"/>
      <c r="N411" s="15"/>
      <c r="O411" s="15"/>
      <c r="P411" s="14"/>
      <c r="Q411" s="14"/>
      <c r="R411" s="14"/>
      <c r="S411" s="14"/>
      <c r="T411" s="14"/>
      <c r="U411" s="14"/>
      <c r="V411" s="14"/>
      <c r="W411" s="14"/>
      <c r="X411" s="14"/>
      <c r="Y411" s="13"/>
      <c r="Z411" s="44"/>
      <c r="AA411" s="43"/>
      <c r="AB411" s="13"/>
      <c r="AC411" s="13"/>
      <c r="AD411" s="13"/>
      <c r="AE411" s="13"/>
      <c r="AF411" s="13"/>
      <c r="AG411" s="13"/>
      <c r="AH411" s="13"/>
      <c r="AI411" s="13"/>
      <c r="AJ411" s="72"/>
      <c r="AK411" s="44"/>
    </row>
    <row r="412" spans="1:38" ht="12.75" customHeight="1">
      <c r="A412" s="41">
        <v>408</v>
      </c>
      <c r="B412" s="10">
        <v>1128</v>
      </c>
      <c r="C412" s="10" t="s">
        <v>1223</v>
      </c>
      <c r="D412" s="16">
        <v>667.34</v>
      </c>
      <c r="E412" s="20" t="s">
        <v>1224</v>
      </c>
      <c r="F412" s="20" t="s">
        <v>1225</v>
      </c>
      <c r="G412" s="12">
        <v>1</v>
      </c>
      <c r="H412" s="12">
        <v>3</v>
      </c>
      <c r="I412" s="16">
        <f>ROUND(G412,0)</f>
        <v>1</v>
      </c>
      <c r="J412" s="16">
        <f>ROUND(H412,0)</f>
        <v>3</v>
      </c>
      <c r="K412" s="18" t="str">
        <f>IF(I412=J412,"TAM",(CONCATENATE(G412,"/",H412)))</f>
        <v>1/3</v>
      </c>
      <c r="L412" s="29">
        <f>667.34*1/3</f>
        <v>222.44666666666666</v>
      </c>
      <c r="M412" s="30">
        <v>0</v>
      </c>
      <c r="N412" s="16" t="str">
        <f>IF(M412=0,"0",(O412*M412))</f>
        <v>0</v>
      </c>
      <c r="O412" s="16">
        <f>IF(W412=1,L412,((D412*G412/H412)-P412)/(1-V412)-S412-T412)</f>
        <v>222.4466666666667</v>
      </c>
      <c r="P412" s="16">
        <v>0</v>
      </c>
      <c r="Q412" s="16">
        <f>IF(U412=0,"0",O412*U412)</f>
        <v>74.46456259344815</v>
      </c>
      <c r="R412" s="17">
        <f>IF(U412=0,(((D412*G412/H412)-P412-S412-T412)/(1-V412)),(((D412*G412/H412)-P412-S412-T412)/(1-V412))-((D412*G412/H412)-P412-S412-T412)*U412/(1-V412))</f>
        <v>147.98210407321852</v>
      </c>
      <c r="S412" s="12">
        <v>0</v>
      </c>
      <c r="T412" s="12">
        <v>0</v>
      </c>
      <c r="U412" s="12">
        <v>0.334752431714485</v>
      </c>
      <c r="V412" s="12">
        <v>0</v>
      </c>
      <c r="W412" s="28">
        <f>IF(V412&gt;U412,1,V412)</f>
        <v>0</v>
      </c>
      <c r="X412" s="12">
        <v>1</v>
      </c>
      <c r="Y412" s="16">
        <v>0</v>
      </c>
      <c r="Z412" s="42" t="str">
        <f>IF(OR(W412=1,W412=0),"0",(Q412-N412))</f>
        <v>0</v>
      </c>
      <c r="AA412" s="53" t="s">
        <v>1226</v>
      </c>
      <c r="AB412" s="16" t="s">
        <v>1227</v>
      </c>
      <c r="AC412" s="16">
        <v>147.98</v>
      </c>
      <c r="AD412" s="16">
        <v>603.05</v>
      </c>
      <c r="AE412" s="16">
        <f>ROUND(AC412*100,0)</f>
        <v>14798</v>
      </c>
      <c r="AF412" s="16">
        <f>ROUND(AD412*100,0)</f>
        <v>60305</v>
      </c>
      <c r="AG412" s="19" t="str">
        <f>IF(AC412=AD412,"TAM",(CONCATENATE(AE412,"/",AF412)))</f>
        <v>14798/60305</v>
      </c>
      <c r="AH412" s="11" t="s">
        <v>50</v>
      </c>
      <c r="AI412" s="21" t="s">
        <v>50</v>
      </c>
      <c r="AJ412" s="71" t="s">
        <v>2425</v>
      </c>
      <c r="AK412" s="54" t="s">
        <v>50</v>
      </c>
      <c r="AL412" s="1" t="s">
        <v>50</v>
      </c>
    </row>
    <row r="413" spans="1:37" ht="12.75" customHeight="1">
      <c r="A413" s="43"/>
      <c r="B413" s="13"/>
      <c r="C413" s="13"/>
      <c r="D413" s="31"/>
      <c r="E413" s="14" t="s">
        <v>50</v>
      </c>
      <c r="F413" s="14"/>
      <c r="G413" s="14"/>
      <c r="H413" s="14"/>
      <c r="I413" s="31"/>
      <c r="J413" s="31"/>
      <c r="K413" s="15"/>
      <c r="L413" s="15"/>
      <c r="M413" s="15"/>
      <c r="N413" s="15"/>
      <c r="O413" s="15"/>
      <c r="P413" s="14"/>
      <c r="Q413" s="14"/>
      <c r="R413" s="14"/>
      <c r="S413" s="14"/>
      <c r="T413" s="14"/>
      <c r="U413" s="14"/>
      <c r="V413" s="14"/>
      <c r="W413" s="14"/>
      <c r="X413" s="14"/>
      <c r="Y413" s="13"/>
      <c r="Z413" s="44"/>
      <c r="AA413" s="43"/>
      <c r="AB413" s="13"/>
      <c r="AC413" s="13"/>
      <c r="AD413" s="13"/>
      <c r="AE413" s="13"/>
      <c r="AF413" s="13"/>
      <c r="AG413" s="13"/>
      <c r="AH413" s="13"/>
      <c r="AI413" s="13"/>
      <c r="AJ413" s="72"/>
      <c r="AK413" s="44"/>
    </row>
    <row r="414" spans="1:38" ht="12.75" customHeight="1">
      <c r="A414" s="41">
        <v>410</v>
      </c>
      <c r="B414" s="10">
        <v>1128</v>
      </c>
      <c r="C414" s="10" t="s">
        <v>1228</v>
      </c>
      <c r="D414" s="16">
        <v>667.34</v>
      </c>
      <c r="E414" s="20" t="s">
        <v>1229</v>
      </c>
      <c r="F414" s="20" t="s">
        <v>1230</v>
      </c>
      <c r="G414" s="12">
        <v>1</v>
      </c>
      <c r="H414" s="12">
        <v>3</v>
      </c>
      <c r="I414" s="16">
        <f>ROUND(G414,0)</f>
        <v>1</v>
      </c>
      <c r="J414" s="16">
        <f>ROUND(H414,0)</f>
        <v>3</v>
      </c>
      <c r="K414" s="18" t="str">
        <f>IF(I414=J414,"TAM",(CONCATENATE(G414,"/",H414)))</f>
        <v>1/3</v>
      </c>
      <c r="L414" s="29">
        <f>667.34*1/3</f>
        <v>222.44666666666666</v>
      </c>
      <c r="M414" s="30">
        <v>0</v>
      </c>
      <c r="N414" s="16" t="str">
        <f>IF(M414=0,"0",(O414*M414))</f>
        <v>0</v>
      </c>
      <c r="O414" s="16">
        <f>IF(W414=1,L414,((D414*G414/H414)-P414)/(1-V414)-S414-T414)</f>
        <v>222.4466666666667</v>
      </c>
      <c r="P414" s="16">
        <v>0</v>
      </c>
      <c r="Q414" s="16">
        <f>IF(U414=0,"0",O414*U414)</f>
        <v>74.46456259344815</v>
      </c>
      <c r="R414" s="17">
        <f>IF(U414=0,(((D414*G414/H414)-P414-S414-T414)/(1-V414)),(((D414*G414/H414)-P414-S414-T414)/(1-V414))-((D414*G414/H414)-P414-S414-T414)*U414/(1-V414))</f>
        <v>147.98210407321852</v>
      </c>
      <c r="S414" s="12">
        <v>0</v>
      </c>
      <c r="T414" s="12">
        <v>0</v>
      </c>
      <c r="U414" s="12">
        <v>0.334752431714485</v>
      </c>
      <c r="V414" s="12">
        <v>0</v>
      </c>
      <c r="W414" s="28">
        <f>IF(V414&gt;U414,1,V414)</f>
        <v>0</v>
      </c>
      <c r="X414" s="12">
        <v>1</v>
      </c>
      <c r="Y414" s="16">
        <v>0</v>
      </c>
      <c r="Z414" s="42" t="str">
        <f>IF(OR(W414=1,W414=0),"0",(Q414-N414))</f>
        <v>0</v>
      </c>
      <c r="AA414" s="53" t="s">
        <v>1231</v>
      </c>
      <c r="AB414" s="16" t="s">
        <v>1232</v>
      </c>
      <c r="AC414" s="16">
        <v>147.98</v>
      </c>
      <c r="AD414" s="16">
        <v>603.05</v>
      </c>
      <c r="AE414" s="16">
        <f>ROUND(AC414*100,0)</f>
        <v>14798</v>
      </c>
      <c r="AF414" s="16">
        <f>ROUND(AD414*100,0)</f>
        <v>60305</v>
      </c>
      <c r="AG414" s="19" t="str">
        <f>IF(AC414=AD414,"TAM",(CONCATENATE(AE414,"/",AF414)))</f>
        <v>14798/60305</v>
      </c>
      <c r="AH414" s="11" t="s">
        <v>50</v>
      </c>
      <c r="AI414" s="21" t="s">
        <v>50</v>
      </c>
      <c r="AJ414" s="71" t="s">
        <v>2425</v>
      </c>
      <c r="AK414" s="54" t="s">
        <v>50</v>
      </c>
      <c r="AL414" s="1" t="s">
        <v>50</v>
      </c>
    </row>
    <row r="415" spans="1:37" ht="12.75" customHeight="1">
      <c r="A415" s="43"/>
      <c r="B415" s="13"/>
      <c r="C415" s="13"/>
      <c r="D415" s="31"/>
      <c r="E415" s="14" t="s">
        <v>50</v>
      </c>
      <c r="F415" s="14"/>
      <c r="G415" s="14"/>
      <c r="H415" s="14"/>
      <c r="I415" s="31"/>
      <c r="J415" s="31"/>
      <c r="K415" s="15"/>
      <c r="L415" s="15"/>
      <c r="M415" s="15"/>
      <c r="N415" s="15"/>
      <c r="O415" s="15"/>
      <c r="P415" s="14"/>
      <c r="Q415" s="14"/>
      <c r="R415" s="14"/>
      <c r="S415" s="14"/>
      <c r="T415" s="14"/>
      <c r="U415" s="14"/>
      <c r="V415" s="14"/>
      <c r="W415" s="14"/>
      <c r="X415" s="14"/>
      <c r="Y415" s="13"/>
      <c r="Z415" s="44"/>
      <c r="AA415" s="43"/>
      <c r="AB415" s="13"/>
      <c r="AC415" s="13"/>
      <c r="AD415" s="13"/>
      <c r="AE415" s="13"/>
      <c r="AF415" s="13"/>
      <c r="AG415" s="13"/>
      <c r="AH415" s="13"/>
      <c r="AI415" s="13"/>
      <c r="AJ415" s="72"/>
      <c r="AK415" s="44"/>
    </row>
    <row r="416" spans="1:38" ht="12.75" customHeight="1">
      <c r="A416" s="41">
        <v>104</v>
      </c>
      <c r="B416" s="10">
        <v>1036</v>
      </c>
      <c r="C416" s="10" t="s">
        <v>1233</v>
      </c>
      <c r="D416" s="16">
        <v>468.82</v>
      </c>
      <c r="E416" s="20" t="s">
        <v>1234</v>
      </c>
      <c r="F416" s="20" t="s">
        <v>1235</v>
      </c>
      <c r="G416" s="12">
        <v>1</v>
      </c>
      <c r="H416" s="12">
        <v>1</v>
      </c>
      <c r="I416" s="16">
        <f>ROUND(G416,0)</f>
        <v>1</v>
      </c>
      <c r="J416" s="16">
        <f>ROUND(H416,0)</f>
        <v>1</v>
      </c>
      <c r="K416" s="18" t="str">
        <f>IF(I416=J416,"TAM",(CONCATENATE(G416,"/",H416)))</f>
        <v>TAM</v>
      </c>
      <c r="L416" s="29">
        <f>468.82*1/1</f>
        <v>468.82</v>
      </c>
      <c r="M416" s="30">
        <v>0</v>
      </c>
      <c r="N416" s="16" t="str">
        <f>IF(M416=0,"0",(O416*M416))</f>
        <v>0</v>
      </c>
      <c r="O416" s="16">
        <f>IF(W416=1,L416,((D416*G416/H416)-P416)/(1-V416)-S416-T416)</f>
        <v>468.82</v>
      </c>
      <c r="P416" s="16">
        <v>0</v>
      </c>
      <c r="Q416" s="16">
        <f>IF(U416=0,"0",O416*U416)</f>
        <v>156.93863503638485</v>
      </c>
      <c r="R416" s="17">
        <f>IF(U416=0,(((D416*G416/H416)-P416-S416-T416)/(1-V416)),(((D416*G416/H416)-P416-S416-T416)/(1-V416))-((D416*G416/H416)-P416-S416-T416)*U416/(1-V416))</f>
        <v>311.88136496361517</v>
      </c>
      <c r="S416" s="12">
        <v>0</v>
      </c>
      <c r="T416" s="12">
        <v>0</v>
      </c>
      <c r="U416" s="12">
        <v>0.334752431714485</v>
      </c>
      <c r="V416" s="12">
        <v>0</v>
      </c>
      <c r="W416" s="28">
        <f>IF(V416&gt;U416,1,V416)</f>
        <v>0</v>
      </c>
      <c r="X416" s="12">
        <v>1</v>
      </c>
      <c r="Y416" s="16">
        <v>0</v>
      </c>
      <c r="Z416" s="42" t="str">
        <f>IF(OR(W416=1,W416=0),"0",(Q416-N416))</f>
        <v>0</v>
      </c>
      <c r="AA416" s="53" t="s">
        <v>1236</v>
      </c>
      <c r="AB416" s="16" t="s">
        <v>1238</v>
      </c>
      <c r="AC416" s="16">
        <v>311.88</v>
      </c>
      <c r="AD416" s="16">
        <v>587.72</v>
      </c>
      <c r="AE416" s="16">
        <f>ROUND(AC416*100,0)</f>
        <v>31188</v>
      </c>
      <c r="AF416" s="16">
        <f>ROUND(AD416*100,0)</f>
        <v>58772</v>
      </c>
      <c r="AG416" s="19" t="str">
        <f>IF(AC416=AD416,"TAM",(CONCATENATE(AE416,"/",AF416)))</f>
        <v>31188/58772</v>
      </c>
      <c r="AH416" s="11" t="s">
        <v>50</v>
      </c>
      <c r="AI416" s="21" t="s">
        <v>50</v>
      </c>
      <c r="AJ416" s="21" t="s">
        <v>1237</v>
      </c>
      <c r="AK416" s="54" t="s">
        <v>50</v>
      </c>
      <c r="AL416" s="1" t="s">
        <v>50</v>
      </c>
    </row>
    <row r="417" spans="1:37" ht="12.75" customHeight="1">
      <c r="A417" s="43"/>
      <c r="B417" s="13"/>
      <c r="C417" s="13"/>
      <c r="D417" s="31"/>
      <c r="E417" s="14" t="s">
        <v>50</v>
      </c>
      <c r="F417" s="14"/>
      <c r="G417" s="14"/>
      <c r="H417" s="14"/>
      <c r="I417" s="31"/>
      <c r="J417" s="31"/>
      <c r="K417" s="15"/>
      <c r="L417" s="15"/>
      <c r="M417" s="15"/>
      <c r="N417" s="15"/>
      <c r="O417" s="15"/>
      <c r="P417" s="14"/>
      <c r="Q417" s="14"/>
      <c r="R417" s="14"/>
      <c r="S417" s="14"/>
      <c r="T417" s="14"/>
      <c r="U417" s="14"/>
      <c r="V417" s="14"/>
      <c r="W417" s="14"/>
      <c r="X417" s="14"/>
      <c r="Y417" s="13"/>
      <c r="Z417" s="44"/>
      <c r="AA417" s="43"/>
      <c r="AB417" s="13"/>
      <c r="AC417" s="13"/>
      <c r="AD417" s="13"/>
      <c r="AE417" s="13"/>
      <c r="AF417" s="13"/>
      <c r="AG417" s="13"/>
      <c r="AH417" s="13"/>
      <c r="AI417" s="13"/>
      <c r="AJ417" s="13"/>
      <c r="AK417" s="44"/>
    </row>
    <row r="418" spans="1:38" ht="12.75" customHeight="1">
      <c r="A418" s="41">
        <v>105</v>
      </c>
      <c r="B418" s="10">
        <v>1037</v>
      </c>
      <c r="C418" s="10" t="s">
        <v>1239</v>
      </c>
      <c r="D418" s="16">
        <v>414.64</v>
      </c>
      <c r="E418" s="20" t="s">
        <v>1240</v>
      </c>
      <c r="F418" s="20" t="s">
        <v>1241</v>
      </c>
      <c r="G418" s="12">
        <v>1</v>
      </c>
      <c r="H418" s="12">
        <v>1</v>
      </c>
      <c r="I418" s="16">
        <f>ROUND(G418,0)</f>
        <v>1</v>
      </c>
      <c r="J418" s="16">
        <f>ROUND(H418,0)</f>
        <v>1</v>
      </c>
      <c r="K418" s="18" t="str">
        <f>IF(I418=J418,"TAM",(CONCATENATE(G418,"/",H418)))</f>
        <v>TAM</v>
      </c>
      <c r="L418" s="29">
        <f>414.64*1/1</f>
        <v>414.64</v>
      </c>
      <c r="M418" s="30">
        <v>0</v>
      </c>
      <c r="N418" s="16" t="str">
        <f>IF(M418=0,"0",(O418*M418))</f>
        <v>0</v>
      </c>
      <c r="O418" s="16">
        <f>IF(W418=1,L418,((D418*G418/H418)-P418)/(1-V418)-S418-T418)</f>
        <v>414.64</v>
      </c>
      <c r="P418" s="16">
        <v>0</v>
      </c>
      <c r="Q418" s="16">
        <f>IF(U418=0,"0",O418*U418)</f>
        <v>138.80174828609404</v>
      </c>
      <c r="R418" s="17">
        <f>IF(U418=0,(((D418*G418/H418)-P418-S418-T418)/(1-V418)),(((D418*G418/H418)-P418-S418-T418)/(1-V418))-((D418*G418/H418)-P418-S418-T418)*U418/(1-V418))</f>
        <v>275.83825171390595</v>
      </c>
      <c r="S418" s="12">
        <v>0</v>
      </c>
      <c r="T418" s="12">
        <v>0</v>
      </c>
      <c r="U418" s="12">
        <v>0.334752431714485</v>
      </c>
      <c r="V418" s="12">
        <v>0</v>
      </c>
      <c r="W418" s="28">
        <f>IF(V418&gt;U418,1,V418)</f>
        <v>0</v>
      </c>
      <c r="X418" s="12">
        <v>1</v>
      </c>
      <c r="Y418" s="16">
        <v>0</v>
      </c>
      <c r="Z418" s="42" t="str">
        <f>IF(OR(W418=1,W418=0),"0",(Q418-N418))</f>
        <v>0</v>
      </c>
      <c r="AA418" s="53" t="s">
        <v>1243</v>
      </c>
      <c r="AB418" s="16" t="s">
        <v>1245</v>
      </c>
      <c r="AC418" s="16">
        <v>275.84</v>
      </c>
      <c r="AD418" s="16">
        <v>587.72</v>
      </c>
      <c r="AE418" s="16">
        <f>ROUND(AC418*100,0)</f>
        <v>27584</v>
      </c>
      <c r="AF418" s="16">
        <f>ROUND(AD418*100,0)</f>
        <v>58772</v>
      </c>
      <c r="AG418" s="19" t="str">
        <f>IF(AC418=AD418,"TAM",(CONCATENATE(AE418,"/",AF418)))</f>
        <v>27584/58772</v>
      </c>
      <c r="AH418" s="11" t="s">
        <v>50</v>
      </c>
      <c r="AI418" s="21" t="s">
        <v>50</v>
      </c>
      <c r="AJ418" s="21" t="s">
        <v>1244</v>
      </c>
      <c r="AK418" s="54" t="s">
        <v>50</v>
      </c>
      <c r="AL418" s="1" t="s">
        <v>50</v>
      </c>
    </row>
    <row r="419" spans="1:37" ht="23.25" customHeight="1">
      <c r="A419" s="43"/>
      <c r="B419" s="13"/>
      <c r="C419" s="13"/>
      <c r="D419" s="31"/>
      <c r="E419" s="34" t="s">
        <v>1242</v>
      </c>
      <c r="F419" s="14"/>
      <c r="G419" s="14"/>
      <c r="H419" s="14"/>
      <c r="I419" s="31"/>
      <c r="J419" s="31"/>
      <c r="K419" s="15"/>
      <c r="L419" s="15"/>
      <c r="M419" s="15"/>
      <c r="N419" s="15"/>
      <c r="O419" s="15"/>
      <c r="P419" s="14"/>
      <c r="Q419" s="14"/>
      <c r="R419" s="14"/>
      <c r="S419" s="14"/>
      <c r="T419" s="14"/>
      <c r="U419" s="14"/>
      <c r="V419" s="14"/>
      <c r="W419" s="14"/>
      <c r="X419" s="14"/>
      <c r="Y419" s="13"/>
      <c r="Z419" s="44"/>
      <c r="AA419" s="43"/>
      <c r="AB419" s="13"/>
      <c r="AC419" s="13"/>
      <c r="AD419" s="13"/>
      <c r="AE419" s="13"/>
      <c r="AF419" s="13"/>
      <c r="AG419" s="13"/>
      <c r="AH419" s="13"/>
      <c r="AI419" s="13"/>
      <c r="AJ419" s="13"/>
      <c r="AK419" s="44"/>
    </row>
    <row r="420" spans="1:38" ht="12.75" customHeight="1">
      <c r="A420" s="41">
        <v>458</v>
      </c>
      <c r="B420" s="10">
        <v>1139</v>
      </c>
      <c r="C420" s="10" t="s">
        <v>1246</v>
      </c>
      <c r="D420" s="16">
        <v>3113.93</v>
      </c>
      <c r="E420" s="20" t="s">
        <v>1247</v>
      </c>
      <c r="F420" s="20" t="s">
        <v>1248</v>
      </c>
      <c r="G420" s="12">
        <v>1</v>
      </c>
      <c r="H420" s="12">
        <v>1</v>
      </c>
      <c r="I420" s="16">
        <f>ROUND(G420,0)</f>
        <v>1</v>
      </c>
      <c r="J420" s="16">
        <f>ROUND(H420,0)</f>
        <v>1</v>
      </c>
      <c r="K420" s="18" t="str">
        <f>IF(I420=J420,"TAM",(CONCATENATE(G420,"/",H420)))</f>
        <v>TAM</v>
      </c>
      <c r="L420" s="29">
        <f>3113.93*1/1</f>
        <v>3113.93</v>
      </c>
      <c r="M420" s="30">
        <v>0</v>
      </c>
      <c r="N420" s="16" t="str">
        <f>IF(M420=0,"0",(O420*M420))</f>
        <v>0</v>
      </c>
      <c r="O420" s="16">
        <f>IF(W420=1,L420,((D420*G420/H420)-P420)/(1-V420)-S420-T420)</f>
        <v>3113.93</v>
      </c>
      <c r="P420" s="16">
        <v>0</v>
      </c>
      <c r="Q420" s="16">
        <f>IF(U420=0,"0",O420*U420)</f>
        <v>1042.3956396886863</v>
      </c>
      <c r="R420" s="17">
        <f>IF(U420=0,(((D420*G420/H420)-P420-S420-T420)/(1-V420)),(((D420*G420/H420)-P420-S420-T420)/(1-V420))-((D420*G420/H420)-P420-S420-T420)*U420/(1-V420))</f>
        <v>2071.5343603113133</v>
      </c>
      <c r="S420" s="12">
        <v>0</v>
      </c>
      <c r="T420" s="12">
        <v>0</v>
      </c>
      <c r="U420" s="12">
        <v>0.334752431714485</v>
      </c>
      <c r="V420" s="12">
        <v>0</v>
      </c>
      <c r="W420" s="28">
        <f>IF(V420&gt;U420,1,V420)</f>
        <v>0</v>
      </c>
      <c r="X420" s="12">
        <v>1</v>
      </c>
      <c r="Y420" s="16">
        <v>0</v>
      </c>
      <c r="Z420" s="42" t="str">
        <f>IF(OR(W420=1,W420=0),"0",(Q420-N420))</f>
        <v>0</v>
      </c>
      <c r="AA420" s="53" t="s">
        <v>1249</v>
      </c>
      <c r="AB420" s="16" t="s">
        <v>1251</v>
      </c>
      <c r="AC420" s="16">
        <v>577.15</v>
      </c>
      <c r="AD420" s="16">
        <v>577.15</v>
      </c>
      <c r="AE420" s="16">
        <f>ROUND(AC420*100,0)</f>
        <v>57715</v>
      </c>
      <c r="AF420" s="16">
        <f>ROUND(AD420*100,0)</f>
        <v>57715</v>
      </c>
      <c r="AG420" s="19" t="str">
        <f>IF(AC420=AD420,"TAM",(CONCATENATE(AE420,"/",AF420)))</f>
        <v>TAM</v>
      </c>
      <c r="AH420" s="11" t="s">
        <v>50</v>
      </c>
      <c r="AI420" s="21" t="s">
        <v>50</v>
      </c>
      <c r="AJ420" s="21" t="s">
        <v>1250</v>
      </c>
      <c r="AK420" s="54" t="s">
        <v>50</v>
      </c>
      <c r="AL420" s="1" t="s">
        <v>50</v>
      </c>
    </row>
    <row r="421" spans="1:37" ht="12.75" customHeight="1">
      <c r="A421" s="43"/>
      <c r="B421" s="13"/>
      <c r="C421" s="13"/>
      <c r="D421" s="31"/>
      <c r="E421" s="14" t="s">
        <v>50</v>
      </c>
      <c r="F421" s="14"/>
      <c r="G421" s="14"/>
      <c r="H421" s="14"/>
      <c r="I421" s="31"/>
      <c r="J421" s="31"/>
      <c r="K421" s="15"/>
      <c r="L421" s="15"/>
      <c r="M421" s="15"/>
      <c r="N421" s="15"/>
      <c r="O421" s="15"/>
      <c r="P421" s="14"/>
      <c r="Q421" s="14"/>
      <c r="R421" s="14"/>
      <c r="S421" s="14"/>
      <c r="T421" s="14"/>
      <c r="U421" s="14"/>
      <c r="V421" s="14"/>
      <c r="W421" s="14"/>
      <c r="X421" s="14"/>
      <c r="Y421" s="13"/>
      <c r="Z421" s="44"/>
      <c r="AA421" s="43"/>
      <c r="AB421" s="13"/>
      <c r="AC421" s="13"/>
      <c r="AD421" s="13"/>
      <c r="AE421" s="13"/>
      <c r="AF421" s="13"/>
      <c r="AG421" s="13"/>
      <c r="AH421" s="13"/>
      <c r="AI421" s="13"/>
      <c r="AJ421" s="13"/>
      <c r="AK421" s="44"/>
    </row>
    <row r="422" spans="1:38" ht="12.75" customHeight="1">
      <c r="A422" s="41">
        <v>315</v>
      </c>
      <c r="B422" s="10">
        <v>1099</v>
      </c>
      <c r="C422" s="10" t="s">
        <v>1252</v>
      </c>
      <c r="D422" s="16">
        <v>864.01</v>
      </c>
      <c r="E422" s="20" t="s">
        <v>1253</v>
      </c>
      <c r="F422" s="20" t="s">
        <v>1254</v>
      </c>
      <c r="G422" s="12">
        <v>1</v>
      </c>
      <c r="H422" s="12">
        <v>1</v>
      </c>
      <c r="I422" s="16">
        <f>ROUND(G422,0)</f>
        <v>1</v>
      </c>
      <c r="J422" s="16">
        <f>ROUND(H422,0)</f>
        <v>1</v>
      </c>
      <c r="K422" s="18" t="str">
        <f>IF(I422=J422,"TAM",(CONCATENATE(G422,"/",H422)))</f>
        <v>TAM</v>
      </c>
      <c r="L422" s="29">
        <f>864.01*1/1</f>
        <v>864.01</v>
      </c>
      <c r="M422" s="30">
        <v>0</v>
      </c>
      <c r="N422" s="16" t="str">
        <f>IF(M422=0,"0",(O422*M422))</f>
        <v>0</v>
      </c>
      <c r="O422" s="16">
        <f>IF(W422=1,L422,((D422*G422/H422)-P422)/(1-V422)-S422-T422)</f>
        <v>864.01</v>
      </c>
      <c r="P422" s="16">
        <v>0</v>
      </c>
      <c r="Q422" s="16">
        <f>IF(U422=0,"0",O422*U422)</f>
        <v>289.22944852563217</v>
      </c>
      <c r="R422" s="17">
        <f>IF(U422=0,(((D422*G422/H422)-P422-S422-T422)/(1-V422)),(((D422*G422/H422)-P422-S422-T422)/(1-V422))-((D422*G422/H422)-P422-S422-T422)*U422/(1-V422))</f>
        <v>574.7805514743678</v>
      </c>
      <c r="S422" s="12">
        <v>0</v>
      </c>
      <c r="T422" s="12">
        <v>0</v>
      </c>
      <c r="U422" s="12">
        <v>0.334752431714485</v>
      </c>
      <c r="V422" s="12">
        <v>0</v>
      </c>
      <c r="W422" s="28">
        <f>IF(V422&gt;U422,1,V422)</f>
        <v>0</v>
      </c>
      <c r="X422" s="12">
        <v>1</v>
      </c>
      <c r="Y422" s="16">
        <v>0</v>
      </c>
      <c r="Z422" s="42" t="str">
        <f>IF(OR(W422=1,W422=0),"0",(Q422-N422))</f>
        <v>0</v>
      </c>
      <c r="AA422" s="53" t="s">
        <v>1255</v>
      </c>
      <c r="AB422" s="16" t="s">
        <v>1256</v>
      </c>
      <c r="AC422" s="16">
        <v>574.78</v>
      </c>
      <c r="AD422" s="16">
        <v>574.78</v>
      </c>
      <c r="AE422" s="16">
        <f>ROUND(AC422*100,0)</f>
        <v>57478</v>
      </c>
      <c r="AF422" s="16">
        <f>ROUND(AD422*100,0)</f>
        <v>57478</v>
      </c>
      <c r="AG422" s="19" t="str">
        <f>IF(AC422=AD422,"TAM",(CONCATENATE(AE422,"/",AF422)))</f>
        <v>TAM</v>
      </c>
      <c r="AH422" s="11" t="s">
        <v>50</v>
      </c>
      <c r="AI422" s="21" t="s">
        <v>50</v>
      </c>
      <c r="AJ422" s="71" t="s">
        <v>2432</v>
      </c>
      <c r="AK422" s="54" t="s">
        <v>50</v>
      </c>
      <c r="AL422" s="1" t="s">
        <v>50</v>
      </c>
    </row>
    <row r="423" spans="1:37" ht="12.75" customHeight="1">
      <c r="A423" s="43"/>
      <c r="B423" s="13"/>
      <c r="C423" s="13"/>
      <c r="D423" s="31"/>
      <c r="E423" s="14" t="s">
        <v>50</v>
      </c>
      <c r="F423" s="14"/>
      <c r="G423" s="14"/>
      <c r="H423" s="14"/>
      <c r="I423" s="31"/>
      <c r="J423" s="31"/>
      <c r="K423" s="15"/>
      <c r="L423" s="15"/>
      <c r="M423" s="15"/>
      <c r="N423" s="15"/>
      <c r="O423" s="15"/>
      <c r="P423" s="14"/>
      <c r="Q423" s="14"/>
      <c r="R423" s="14"/>
      <c r="S423" s="14"/>
      <c r="T423" s="14"/>
      <c r="U423" s="14"/>
      <c r="V423" s="14"/>
      <c r="W423" s="14"/>
      <c r="X423" s="14"/>
      <c r="Y423" s="13"/>
      <c r="Z423" s="44"/>
      <c r="AA423" s="43"/>
      <c r="AB423" s="13"/>
      <c r="AC423" s="13"/>
      <c r="AD423" s="13"/>
      <c r="AE423" s="13"/>
      <c r="AF423" s="13"/>
      <c r="AG423" s="13"/>
      <c r="AH423" s="13"/>
      <c r="AI423" s="13"/>
      <c r="AJ423" s="72"/>
      <c r="AK423" s="44"/>
    </row>
    <row r="424" spans="1:38" ht="12.75" customHeight="1">
      <c r="A424" s="41">
        <v>149</v>
      </c>
      <c r="B424" s="10">
        <v>1047</v>
      </c>
      <c r="C424" s="10" t="s">
        <v>1257</v>
      </c>
      <c r="D424" s="16">
        <v>802.21</v>
      </c>
      <c r="E424" s="20" t="s">
        <v>1258</v>
      </c>
      <c r="F424" s="20" t="s">
        <v>1259</v>
      </c>
      <c r="G424" s="12">
        <v>1</v>
      </c>
      <c r="H424" s="12">
        <v>1</v>
      </c>
      <c r="I424" s="16">
        <f>ROUND(G424,0)</f>
        <v>1</v>
      </c>
      <c r="J424" s="16">
        <f>ROUND(H424,0)</f>
        <v>1</v>
      </c>
      <c r="K424" s="18" t="str">
        <f>IF(I424=J424,"TAM",(CONCATENATE(G424,"/",H424)))</f>
        <v>TAM</v>
      </c>
      <c r="L424" s="29">
        <f>802.21*1/1</f>
        <v>802.21</v>
      </c>
      <c r="M424" s="30">
        <v>0</v>
      </c>
      <c r="N424" s="16" t="str">
        <f>IF(M424=0,"0",(O424*M424))</f>
        <v>0</v>
      </c>
      <c r="O424" s="16">
        <f>IF(W424=1,L424,((D424*G424/H424)-P424)/(1-V424)-S424-T424)</f>
        <v>802.21</v>
      </c>
      <c r="P424" s="16">
        <v>0</v>
      </c>
      <c r="Q424" s="16">
        <f>IF(U424=0,"0",O424*U424)</f>
        <v>268.541748245677</v>
      </c>
      <c r="R424" s="17">
        <f>IF(U424=0,(((D424*G424/H424)-P424-S424-T424)/(1-V424)),(((D424*G424/H424)-P424-S424-T424)/(1-V424))-((D424*G424/H424)-P424-S424-T424)*U424/(1-V424))</f>
        <v>533.668251754323</v>
      </c>
      <c r="S424" s="12">
        <v>0</v>
      </c>
      <c r="T424" s="12">
        <v>0</v>
      </c>
      <c r="U424" s="12">
        <v>0.334752431714485</v>
      </c>
      <c r="V424" s="12">
        <v>0</v>
      </c>
      <c r="W424" s="28">
        <f>IF(V424&gt;U424,1,V424)</f>
        <v>0</v>
      </c>
      <c r="X424" s="12">
        <v>1</v>
      </c>
      <c r="Y424" s="16">
        <v>0</v>
      </c>
      <c r="Z424" s="42" t="str">
        <f>IF(OR(W424=1,W424=0),"0",(Q424-N424))</f>
        <v>0</v>
      </c>
      <c r="AA424" s="53" t="s">
        <v>1260</v>
      </c>
      <c r="AB424" s="16" t="s">
        <v>1261</v>
      </c>
      <c r="AC424" s="16">
        <v>533.67</v>
      </c>
      <c r="AD424" s="16">
        <v>700.52</v>
      </c>
      <c r="AE424" s="16">
        <f>ROUND(AC424*100,0)</f>
        <v>53367</v>
      </c>
      <c r="AF424" s="16">
        <f>ROUND(AD424*100,0)</f>
        <v>70052</v>
      </c>
      <c r="AG424" s="19" t="str">
        <f>IF(AC424=AD424,"TAM",(CONCATENATE(AE424,"/",AF424)))</f>
        <v>53367/70052</v>
      </c>
      <c r="AH424" s="11" t="s">
        <v>50</v>
      </c>
      <c r="AI424" s="21" t="s">
        <v>50</v>
      </c>
      <c r="AJ424" s="71" t="s">
        <v>2432</v>
      </c>
      <c r="AK424" s="54" t="s">
        <v>50</v>
      </c>
      <c r="AL424" s="1" t="s">
        <v>50</v>
      </c>
    </row>
    <row r="425" spans="1:37" ht="12.75" customHeight="1">
      <c r="A425" s="43"/>
      <c r="B425" s="13"/>
      <c r="C425" s="13"/>
      <c r="D425" s="31"/>
      <c r="E425" s="14" t="s">
        <v>50</v>
      </c>
      <c r="F425" s="14"/>
      <c r="G425" s="14"/>
      <c r="H425" s="14"/>
      <c r="I425" s="31"/>
      <c r="J425" s="31"/>
      <c r="K425" s="15"/>
      <c r="L425" s="15"/>
      <c r="M425" s="15"/>
      <c r="N425" s="15"/>
      <c r="O425" s="15"/>
      <c r="P425" s="14"/>
      <c r="Q425" s="14"/>
      <c r="R425" s="14"/>
      <c r="S425" s="14"/>
      <c r="T425" s="14"/>
      <c r="U425" s="14"/>
      <c r="V425" s="14"/>
      <c r="W425" s="14"/>
      <c r="X425" s="14"/>
      <c r="Y425" s="13"/>
      <c r="Z425" s="44"/>
      <c r="AA425" s="43"/>
      <c r="AB425" s="13"/>
      <c r="AC425" s="13"/>
      <c r="AD425" s="13"/>
      <c r="AE425" s="13"/>
      <c r="AF425" s="13"/>
      <c r="AG425" s="13"/>
      <c r="AH425" s="13"/>
      <c r="AI425" s="13"/>
      <c r="AJ425" s="72"/>
      <c r="AK425" s="44"/>
    </row>
    <row r="426" spans="1:38" ht="12.75" customHeight="1">
      <c r="A426" s="41">
        <v>160</v>
      </c>
      <c r="B426" s="10">
        <v>1052</v>
      </c>
      <c r="C426" s="10" t="s">
        <v>1262</v>
      </c>
      <c r="D426" s="16">
        <v>28.04</v>
      </c>
      <c r="E426" s="20" t="s">
        <v>1263</v>
      </c>
      <c r="F426" s="20" t="s">
        <v>1264</v>
      </c>
      <c r="G426" s="12">
        <v>1</v>
      </c>
      <c r="H426" s="12">
        <v>1</v>
      </c>
      <c r="I426" s="16">
        <f>ROUND(G426,0)</f>
        <v>1</v>
      </c>
      <c r="J426" s="16">
        <f>ROUND(H426,0)</f>
        <v>1</v>
      </c>
      <c r="K426" s="18" t="str">
        <f>IF(I426=J426,"TAM",(CONCATENATE(G426,"/",H426)))</f>
        <v>TAM</v>
      </c>
      <c r="L426" s="29">
        <f>28.04*1/1</f>
        <v>28.04</v>
      </c>
      <c r="M426" s="30">
        <v>0</v>
      </c>
      <c r="N426" s="16" t="str">
        <f>IF(M426=0,"0",(O426*M426))</f>
        <v>0</v>
      </c>
      <c r="O426" s="16">
        <f>IF(W426=1,L426,((D426*G426/H426)-P426)/(1-V426)-S426-T426)</f>
        <v>28.04</v>
      </c>
      <c r="P426" s="16">
        <v>0</v>
      </c>
      <c r="Q426" s="16">
        <f>IF(U426=0,"0",O426*U426)</f>
        <v>9.386458185274158</v>
      </c>
      <c r="R426" s="17">
        <f>IF(U426=0,(((D426*G426/H426)-P426-S426-T426)/(1-V426)),(((D426*G426/H426)-P426-S426-T426)/(1-V426))-((D426*G426/H426)-P426-S426-T426)*U426/(1-V426))</f>
        <v>18.65354181472584</v>
      </c>
      <c r="S426" s="12">
        <v>0</v>
      </c>
      <c r="T426" s="12">
        <v>0</v>
      </c>
      <c r="U426" s="12">
        <v>0.334752431714485</v>
      </c>
      <c r="V426" s="12">
        <v>0</v>
      </c>
      <c r="W426" s="28">
        <f>IF(V426&gt;U426,1,V426)</f>
        <v>0</v>
      </c>
      <c r="X426" s="12">
        <v>1</v>
      </c>
      <c r="Y426" s="16">
        <v>0</v>
      </c>
      <c r="Z426" s="42" t="str">
        <f>IF(OR(W426=1,W426=0),"0",(Q426-N426))</f>
        <v>0</v>
      </c>
      <c r="AA426" s="53" t="s">
        <v>1266</v>
      </c>
      <c r="AB426" s="16" t="s">
        <v>1267</v>
      </c>
      <c r="AC426" s="16">
        <v>18.65</v>
      </c>
      <c r="AD426" s="16">
        <v>700.52</v>
      </c>
      <c r="AE426" s="16">
        <f>ROUND(AC426*100,0)</f>
        <v>1865</v>
      </c>
      <c r="AF426" s="16">
        <f>ROUND(AD426*100,0)</f>
        <v>70052</v>
      </c>
      <c r="AG426" s="19" t="str">
        <f>IF(AC426=AD426,"TAM",(CONCATENATE(AE426,"/",AF426)))</f>
        <v>1865/70052</v>
      </c>
      <c r="AH426" s="11" t="s">
        <v>50</v>
      </c>
      <c r="AI426" s="21" t="s">
        <v>50</v>
      </c>
      <c r="AJ426" s="71" t="s">
        <v>2432</v>
      </c>
      <c r="AK426" s="54" t="s">
        <v>50</v>
      </c>
      <c r="AL426" s="1" t="s">
        <v>50</v>
      </c>
    </row>
    <row r="427" spans="1:37" ht="34.5" customHeight="1">
      <c r="A427" s="43"/>
      <c r="B427" s="13"/>
      <c r="C427" s="13"/>
      <c r="D427" s="31"/>
      <c r="E427" s="34" t="s">
        <v>1265</v>
      </c>
      <c r="F427" s="14"/>
      <c r="G427" s="14"/>
      <c r="H427" s="14"/>
      <c r="I427" s="31"/>
      <c r="J427" s="31"/>
      <c r="K427" s="15"/>
      <c r="L427" s="15"/>
      <c r="M427" s="15"/>
      <c r="N427" s="15"/>
      <c r="O427" s="15"/>
      <c r="P427" s="14"/>
      <c r="Q427" s="14"/>
      <c r="R427" s="14"/>
      <c r="S427" s="14"/>
      <c r="T427" s="14"/>
      <c r="U427" s="14"/>
      <c r="V427" s="14"/>
      <c r="W427" s="14"/>
      <c r="X427" s="14"/>
      <c r="Y427" s="13"/>
      <c r="Z427" s="44"/>
      <c r="AA427" s="43"/>
      <c r="AB427" s="13"/>
      <c r="AC427" s="13"/>
      <c r="AD427" s="13"/>
      <c r="AE427" s="13"/>
      <c r="AF427" s="13"/>
      <c r="AG427" s="13"/>
      <c r="AH427" s="13"/>
      <c r="AI427" s="13"/>
      <c r="AJ427" s="72"/>
      <c r="AK427" s="44"/>
    </row>
    <row r="428" spans="1:38" ht="12.75" customHeight="1">
      <c r="A428" s="41">
        <v>454</v>
      </c>
      <c r="B428" s="10">
        <v>1137</v>
      </c>
      <c r="C428" s="10" t="s">
        <v>1268</v>
      </c>
      <c r="D428" s="16">
        <v>1635.97</v>
      </c>
      <c r="E428" s="20" t="s">
        <v>1269</v>
      </c>
      <c r="F428" s="20" t="s">
        <v>1270</v>
      </c>
      <c r="G428" s="12">
        <v>1</v>
      </c>
      <c r="H428" s="12">
        <v>3</v>
      </c>
      <c r="I428" s="16">
        <f>ROUND(G428,0)</f>
        <v>1</v>
      </c>
      <c r="J428" s="16">
        <f>ROUND(H428,0)</f>
        <v>3</v>
      </c>
      <c r="K428" s="18" t="str">
        <f>IF(I428=J428,"TAM",(CONCATENATE(G428,"/",H428)))</f>
        <v>1/3</v>
      </c>
      <c r="L428" s="29">
        <f>1635.97*1/3</f>
        <v>545.3233333333333</v>
      </c>
      <c r="M428" s="30">
        <v>0</v>
      </c>
      <c r="N428" s="16" t="str">
        <f>IF(M428=0,"0",(O428*M428))</f>
        <v>0</v>
      </c>
      <c r="O428" s="16">
        <f>IF(W428=1,L428,((D428*G428/H428)-P428)/(1-V428)-S428-T428)</f>
        <v>545.3233333333334</v>
      </c>
      <c r="P428" s="16">
        <v>0</v>
      </c>
      <c r="Q428" s="16">
        <f>IF(U428=0,"0",O428*U428)</f>
        <v>182.548311903982</v>
      </c>
      <c r="R428" s="17">
        <f>IF(U428=0,(((D428*G428/H428)-P428-S428-T428)/(1-V428)),(((D428*G428/H428)-P428-S428-T428)/(1-V428))-((D428*G428/H428)-P428-S428-T428)*U428/(1-V428))</f>
        <v>362.77502142935134</v>
      </c>
      <c r="S428" s="12">
        <v>0</v>
      </c>
      <c r="T428" s="12">
        <v>0</v>
      </c>
      <c r="U428" s="12">
        <v>0.334752431714485</v>
      </c>
      <c r="V428" s="12">
        <v>0</v>
      </c>
      <c r="W428" s="28">
        <f>IF(V428&gt;U428,1,V428)</f>
        <v>0</v>
      </c>
      <c r="X428" s="12">
        <v>1</v>
      </c>
      <c r="Y428" s="16">
        <v>0</v>
      </c>
      <c r="Z428" s="42" t="str">
        <f>IF(OR(W428=1,W428=0),"0",(Q428-N428))</f>
        <v>0</v>
      </c>
      <c r="AA428" s="53" t="s">
        <v>1271</v>
      </c>
      <c r="AB428" s="16" t="s">
        <v>1272</v>
      </c>
      <c r="AC428" s="16">
        <v>49.4</v>
      </c>
      <c r="AD428" s="16">
        <v>700.52</v>
      </c>
      <c r="AE428" s="16">
        <f>ROUND(AC428*100,0)</f>
        <v>4940</v>
      </c>
      <c r="AF428" s="16">
        <f>ROUND(AD428*100,0)</f>
        <v>70052</v>
      </c>
      <c r="AG428" s="19" t="str">
        <f>IF(AC428=AD428,"TAM",(CONCATENATE(AE428,"/",AF428)))</f>
        <v>4940/70052</v>
      </c>
      <c r="AH428" s="11" t="s">
        <v>50</v>
      </c>
      <c r="AI428" s="21" t="s">
        <v>50</v>
      </c>
      <c r="AJ428" s="71" t="s">
        <v>2432</v>
      </c>
      <c r="AK428" s="54" t="s">
        <v>50</v>
      </c>
      <c r="AL428" s="1" t="s">
        <v>50</v>
      </c>
    </row>
    <row r="429" spans="1:37" ht="12.75" customHeight="1">
      <c r="A429" s="43"/>
      <c r="B429" s="13"/>
      <c r="C429" s="13"/>
      <c r="D429" s="31"/>
      <c r="E429" s="14" t="s">
        <v>50</v>
      </c>
      <c r="F429" s="14"/>
      <c r="G429" s="14"/>
      <c r="H429" s="14"/>
      <c r="I429" s="31"/>
      <c r="J429" s="31"/>
      <c r="K429" s="15"/>
      <c r="L429" s="15"/>
      <c r="M429" s="15"/>
      <c r="N429" s="15"/>
      <c r="O429" s="15"/>
      <c r="P429" s="14"/>
      <c r="Q429" s="14"/>
      <c r="R429" s="14"/>
      <c r="S429" s="14"/>
      <c r="T429" s="14"/>
      <c r="U429" s="14"/>
      <c r="V429" s="14"/>
      <c r="W429" s="14"/>
      <c r="X429" s="14"/>
      <c r="Y429" s="13"/>
      <c r="Z429" s="44"/>
      <c r="AA429" s="43"/>
      <c r="AB429" s="13"/>
      <c r="AC429" s="13"/>
      <c r="AD429" s="13"/>
      <c r="AE429" s="13"/>
      <c r="AF429" s="13"/>
      <c r="AG429" s="13"/>
      <c r="AH429" s="13"/>
      <c r="AI429" s="13"/>
      <c r="AJ429" s="72"/>
      <c r="AK429" s="44"/>
    </row>
    <row r="430" spans="1:38" ht="12.75" customHeight="1">
      <c r="A430" s="41">
        <v>452</v>
      </c>
      <c r="B430" s="10">
        <v>1137</v>
      </c>
      <c r="C430" s="10" t="s">
        <v>1273</v>
      </c>
      <c r="D430" s="16">
        <v>1635.97</v>
      </c>
      <c r="E430" s="20" t="s">
        <v>1274</v>
      </c>
      <c r="F430" s="20" t="s">
        <v>1275</v>
      </c>
      <c r="G430" s="12">
        <v>1</v>
      </c>
      <c r="H430" s="12">
        <v>3</v>
      </c>
      <c r="I430" s="16">
        <f>ROUND(G430,0)</f>
        <v>1</v>
      </c>
      <c r="J430" s="16">
        <f>ROUND(H430,0)</f>
        <v>3</v>
      </c>
      <c r="K430" s="18" t="str">
        <f>IF(I430=J430,"TAM",(CONCATENATE(G430,"/",H430)))</f>
        <v>1/3</v>
      </c>
      <c r="L430" s="29">
        <f>1635.97*1/3</f>
        <v>545.3233333333333</v>
      </c>
      <c r="M430" s="30">
        <v>0</v>
      </c>
      <c r="N430" s="16" t="str">
        <f>IF(M430=0,"0",(O430*M430))</f>
        <v>0</v>
      </c>
      <c r="O430" s="16">
        <f>IF(W430=1,L430,((D430*G430/H430)-P430)/(1-V430)-S430-T430)</f>
        <v>545.3233333333334</v>
      </c>
      <c r="P430" s="16">
        <v>0</v>
      </c>
      <c r="Q430" s="16">
        <f>IF(U430=0,"0",O430*U430)</f>
        <v>182.548311903982</v>
      </c>
      <c r="R430" s="17">
        <f>IF(U430=0,(((D430*G430/H430)-P430-S430-T430)/(1-V430)),(((D430*G430/H430)-P430-S430-T430)/(1-V430))-((D430*G430/H430)-P430-S430-T430)*U430/(1-V430))</f>
        <v>362.77502142935134</v>
      </c>
      <c r="S430" s="12">
        <v>0</v>
      </c>
      <c r="T430" s="12">
        <v>0</v>
      </c>
      <c r="U430" s="12">
        <v>0.334752431714485</v>
      </c>
      <c r="V430" s="12">
        <v>0</v>
      </c>
      <c r="W430" s="28">
        <f>IF(V430&gt;U430,1,V430)</f>
        <v>0</v>
      </c>
      <c r="X430" s="12">
        <v>1</v>
      </c>
      <c r="Y430" s="16">
        <v>0</v>
      </c>
      <c r="Z430" s="42" t="str">
        <f>IF(OR(W430=1,W430=0),"0",(Q430-N430))</f>
        <v>0</v>
      </c>
      <c r="AA430" s="53" t="s">
        <v>1276</v>
      </c>
      <c r="AB430" s="16" t="s">
        <v>1277</v>
      </c>
      <c r="AC430" s="16">
        <v>49.4</v>
      </c>
      <c r="AD430" s="16">
        <v>700.52</v>
      </c>
      <c r="AE430" s="16">
        <f>ROUND(AC430*100,0)</f>
        <v>4940</v>
      </c>
      <c r="AF430" s="16">
        <f>ROUND(AD430*100,0)</f>
        <v>70052</v>
      </c>
      <c r="AG430" s="19" t="str">
        <f>IF(AC430=AD430,"TAM",(CONCATENATE(AE430,"/",AF430)))</f>
        <v>4940/70052</v>
      </c>
      <c r="AH430" s="11" t="s">
        <v>50</v>
      </c>
      <c r="AI430" s="21" t="s">
        <v>50</v>
      </c>
      <c r="AJ430" s="71" t="s">
        <v>2432</v>
      </c>
      <c r="AK430" s="54" t="s">
        <v>50</v>
      </c>
      <c r="AL430" s="1" t="s">
        <v>50</v>
      </c>
    </row>
    <row r="431" spans="1:37" ht="12.75" customHeight="1">
      <c r="A431" s="43"/>
      <c r="B431" s="13"/>
      <c r="C431" s="13"/>
      <c r="D431" s="31"/>
      <c r="E431" s="14" t="s">
        <v>50</v>
      </c>
      <c r="F431" s="14"/>
      <c r="G431" s="14"/>
      <c r="H431" s="14"/>
      <c r="I431" s="31"/>
      <c r="J431" s="31"/>
      <c r="K431" s="15"/>
      <c r="L431" s="15"/>
      <c r="M431" s="15"/>
      <c r="N431" s="15"/>
      <c r="O431" s="15"/>
      <c r="P431" s="14"/>
      <c r="Q431" s="14"/>
      <c r="R431" s="14"/>
      <c r="S431" s="14"/>
      <c r="T431" s="14"/>
      <c r="U431" s="14"/>
      <c r="V431" s="14"/>
      <c r="W431" s="14"/>
      <c r="X431" s="14"/>
      <c r="Y431" s="13"/>
      <c r="Z431" s="44"/>
      <c r="AA431" s="43"/>
      <c r="AB431" s="13"/>
      <c r="AC431" s="13"/>
      <c r="AD431" s="13"/>
      <c r="AE431" s="13"/>
      <c r="AF431" s="13"/>
      <c r="AG431" s="13"/>
      <c r="AH431" s="13"/>
      <c r="AI431" s="13"/>
      <c r="AJ431" s="72"/>
      <c r="AK431" s="44"/>
    </row>
    <row r="432" spans="1:38" ht="12.75" customHeight="1">
      <c r="A432" s="41">
        <v>453</v>
      </c>
      <c r="B432" s="10">
        <v>1137</v>
      </c>
      <c r="C432" s="10" t="s">
        <v>1278</v>
      </c>
      <c r="D432" s="16">
        <v>1635.97</v>
      </c>
      <c r="E432" s="20" t="s">
        <v>1279</v>
      </c>
      <c r="F432" s="20" t="s">
        <v>1280</v>
      </c>
      <c r="G432" s="12">
        <v>1</v>
      </c>
      <c r="H432" s="12">
        <v>3</v>
      </c>
      <c r="I432" s="16">
        <f>ROUND(G432,0)</f>
        <v>1</v>
      </c>
      <c r="J432" s="16">
        <f>ROUND(H432,0)</f>
        <v>3</v>
      </c>
      <c r="K432" s="18" t="str">
        <f>IF(I432=J432,"TAM",(CONCATENATE(G432,"/",H432)))</f>
        <v>1/3</v>
      </c>
      <c r="L432" s="29">
        <f>1635.97*1/3</f>
        <v>545.3233333333333</v>
      </c>
      <c r="M432" s="30">
        <v>0</v>
      </c>
      <c r="N432" s="16" t="str">
        <f>IF(M432=0,"0",(O432*M432))</f>
        <v>0</v>
      </c>
      <c r="O432" s="16">
        <f>IF(W432=1,L432,((D432*G432/H432)-P432)/(1-V432)-S432-T432)</f>
        <v>545.3233333333334</v>
      </c>
      <c r="P432" s="16">
        <v>0</v>
      </c>
      <c r="Q432" s="16">
        <f>IF(U432=0,"0",O432*U432)</f>
        <v>182.548311903982</v>
      </c>
      <c r="R432" s="17">
        <f>IF(U432=0,(((D432*G432/H432)-P432-S432-T432)/(1-V432)),(((D432*G432/H432)-P432-S432-T432)/(1-V432))-((D432*G432/H432)-P432-S432-T432)*U432/(1-V432))</f>
        <v>362.77502142935134</v>
      </c>
      <c r="S432" s="12">
        <v>0</v>
      </c>
      <c r="T432" s="12">
        <v>0</v>
      </c>
      <c r="U432" s="12">
        <v>0.334752431714485</v>
      </c>
      <c r="V432" s="12">
        <v>0</v>
      </c>
      <c r="W432" s="28">
        <f>IF(V432&gt;U432,1,V432)</f>
        <v>0</v>
      </c>
      <c r="X432" s="12">
        <v>1</v>
      </c>
      <c r="Y432" s="16">
        <v>0</v>
      </c>
      <c r="Z432" s="42" t="str">
        <f>IF(OR(W432=1,W432=0),"0",(Q432-N432))</f>
        <v>0</v>
      </c>
      <c r="AA432" s="53" t="s">
        <v>1281</v>
      </c>
      <c r="AB432" s="16" t="s">
        <v>1282</v>
      </c>
      <c r="AC432" s="16">
        <v>49.4</v>
      </c>
      <c r="AD432" s="16">
        <v>700.52</v>
      </c>
      <c r="AE432" s="16">
        <f>ROUND(AC432*100,0)</f>
        <v>4940</v>
      </c>
      <c r="AF432" s="16">
        <f>ROUND(AD432*100,0)</f>
        <v>70052</v>
      </c>
      <c r="AG432" s="19" t="str">
        <f>IF(AC432=AD432,"TAM",(CONCATENATE(AE432,"/",AF432)))</f>
        <v>4940/70052</v>
      </c>
      <c r="AH432" s="11" t="s">
        <v>50</v>
      </c>
      <c r="AI432" s="21" t="s">
        <v>50</v>
      </c>
      <c r="AJ432" s="71" t="s">
        <v>2432</v>
      </c>
      <c r="AK432" s="54" t="s">
        <v>50</v>
      </c>
      <c r="AL432" s="1" t="s">
        <v>50</v>
      </c>
    </row>
    <row r="433" spans="1:37" ht="12.75" customHeight="1">
      <c r="A433" s="43"/>
      <c r="B433" s="13"/>
      <c r="C433" s="13"/>
      <c r="D433" s="31"/>
      <c r="E433" s="14" t="s">
        <v>50</v>
      </c>
      <c r="F433" s="14"/>
      <c r="G433" s="14"/>
      <c r="H433" s="14"/>
      <c r="I433" s="31"/>
      <c r="J433" s="31"/>
      <c r="K433" s="15"/>
      <c r="L433" s="15"/>
      <c r="M433" s="15"/>
      <c r="N433" s="15"/>
      <c r="O433" s="15"/>
      <c r="P433" s="14"/>
      <c r="Q433" s="14"/>
      <c r="R433" s="14"/>
      <c r="S433" s="14"/>
      <c r="T433" s="14"/>
      <c r="U433" s="14"/>
      <c r="V433" s="14"/>
      <c r="W433" s="14"/>
      <c r="X433" s="14"/>
      <c r="Y433" s="13"/>
      <c r="Z433" s="44"/>
      <c r="AA433" s="43"/>
      <c r="AB433" s="13"/>
      <c r="AC433" s="13"/>
      <c r="AD433" s="13"/>
      <c r="AE433" s="13"/>
      <c r="AF433" s="13"/>
      <c r="AG433" s="13"/>
      <c r="AH433" s="13"/>
      <c r="AI433" s="13"/>
      <c r="AJ433" s="72"/>
      <c r="AK433" s="44"/>
    </row>
    <row r="434" spans="1:38" ht="12.75" customHeight="1">
      <c r="A434" s="41">
        <v>151</v>
      </c>
      <c r="B434" s="10">
        <v>1048</v>
      </c>
      <c r="C434" s="10" t="s">
        <v>1283</v>
      </c>
      <c r="D434" s="16">
        <v>357.12</v>
      </c>
      <c r="E434" s="20" t="s">
        <v>1284</v>
      </c>
      <c r="F434" s="20" t="s">
        <v>1285</v>
      </c>
      <c r="G434" s="12">
        <v>1</v>
      </c>
      <c r="H434" s="12">
        <v>3</v>
      </c>
      <c r="I434" s="16">
        <f>ROUND(G434,0)</f>
        <v>1</v>
      </c>
      <c r="J434" s="16">
        <f>ROUND(H434,0)</f>
        <v>3</v>
      </c>
      <c r="K434" s="18" t="str">
        <f>IF(I434=J434,"TAM",(CONCATENATE(G434,"/",H434)))</f>
        <v>1/3</v>
      </c>
      <c r="L434" s="29">
        <f>357.12*1/3</f>
        <v>119.03999999999999</v>
      </c>
      <c r="M434" s="30">
        <v>0</v>
      </c>
      <c r="N434" s="16" t="str">
        <f>IF(M434=0,"0",(O434*M434))</f>
        <v>0</v>
      </c>
      <c r="O434" s="16">
        <f>IF(W434=1,L434,((D434*G434/H434)-P434)/(1-V434)-S434-T434)</f>
        <v>119.04</v>
      </c>
      <c r="P434" s="16">
        <v>0</v>
      </c>
      <c r="Q434" s="16">
        <f>IF(U434=0,"0",O434*U434)</f>
        <v>39.848929471292294</v>
      </c>
      <c r="R434" s="17">
        <f>IF(U434=0,(((D434*G434/H434)-P434-S434-T434)/(1-V434)),(((D434*G434/H434)-P434-S434-T434)/(1-V434))-((D434*G434/H434)-P434-S434-T434)*U434/(1-V434))</f>
        <v>79.19107052870771</v>
      </c>
      <c r="S434" s="12">
        <v>0</v>
      </c>
      <c r="T434" s="12">
        <v>0</v>
      </c>
      <c r="U434" s="12">
        <v>0.334752431714485</v>
      </c>
      <c r="V434" s="12">
        <v>0</v>
      </c>
      <c r="W434" s="28">
        <f>IF(V434&gt;U434,1,V434)</f>
        <v>0</v>
      </c>
      <c r="X434" s="12">
        <v>1</v>
      </c>
      <c r="Y434" s="16">
        <v>0</v>
      </c>
      <c r="Z434" s="42" t="str">
        <f>IF(OR(W434=1,W434=0),"0",(Q434-N434))</f>
        <v>0</v>
      </c>
      <c r="AA434" s="53" t="s">
        <v>1286</v>
      </c>
      <c r="AB434" s="16" t="s">
        <v>1287</v>
      </c>
      <c r="AC434" s="16">
        <v>79.19</v>
      </c>
      <c r="AD434" s="16">
        <v>600.89</v>
      </c>
      <c r="AE434" s="16">
        <f>ROUND(AC434*100,0)</f>
        <v>7919</v>
      </c>
      <c r="AF434" s="16">
        <f>ROUND(AD434*100,0)</f>
        <v>60089</v>
      </c>
      <c r="AG434" s="19" t="str">
        <f>IF(AC434=AD434,"TAM",(CONCATENATE(AE434,"/",AF434)))</f>
        <v>7919/60089</v>
      </c>
      <c r="AH434" s="11" t="s">
        <v>50</v>
      </c>
      <c r="AI434" s="21" t="s">
        <v>50</v>
      </c>
      <c r="AJ434" s="71" t="s">
        <v>2425</v>
      </c>
      <c r="AK434" s="54" t="s">
        <v>50</v>
      </c>
      <c r="AL434" s="1" t="s">
        <v>50</v>
      </c>
    </row>
    <row r="435" spans="1:37" ht="12.75" customHeight="1">
      <c r="A435" s="43"/>
      <c r="B435" s="13"/>
      <c r="C435" s="13"/>
      <c r="D435" s="31"/>
      <c r="E435" s="14" t="s">
        <v>50</v>
      </c>
      <c r="F435" s="14"/>
      <c r="G435" s="14"/>
      <c r="H435" s="14"/>
      <c r="I435" s="31"/>
      <c r="J435" s="31"/>
      <c r="K435" s="15"/>
      <c r="L435" s="15"/>
      <c r="M435" s="15"/>
      <c r="N435" s="15"/>
      <c r="O435" s="15"/>
      <c r="P435" s="14"/>
      <c r="Q435" s="14"/>
      <c r="R435" s="14"/>
      <c r="S435" s="14"/>
      <c r="T435" s="14"/>
      <c r="U435" s="14"/>
      <c r="V435" s="14"/>
      <c r="W435" s="14"/>
      <c r="X435" s="14"/>
      <c r="Y435" s="13"/>
      <c r="Z435" s="44"/>
      <c r="AA435" s="43"/>
      <c r="AB435" s="13"/>
      <c r="AC435" s="13"/>
      <c r="AD435" s="13"/>
      <c r="AE435" s="13"/>
      <c r="AF435" s="13"/>
      <c r="AG435" s="13"/>
      <c r="AH435" s="13"/>
      <c r="AI435" s="13"/>
      <c r="AJ435" s="72"/>
      <c r="AK435" s="44"/>
    </row>
    <row r="436" spans="1:38" ht="12.75" customHeight="1">
      <c r="A436" s="41">
        <v>152</v>
      </c>
      <c r="B436" s="10">
        <v>1048</v>
      </c>
      <c r="C436" s="10" t="s">
        <v>1288</v>
      </c>
      <c r="D436" s="16">
        <v>357.12</v>
      </c>
      <c r="E436" s="20" t="s">
        <v>1289</v>
      </c>
      <c r="F436" s="20" t="s">
        <v>1290</v>
      </c>
      <c r="G436" s="12">
        <v>1</v>
      </c>
      <c r="H436" s="12">
        <v>3</v>
      </c>
      <c r="I436" s="16">
        <f>ROUND(G436,0)</f>
        <v>1</v>
      </c>
      <c r="J436" s="16">
        <f>ROUND(H436,0)</f>
        <v>3</v>
      </c>
      <c r="K436" s="18" t="str">
        <f>IF(I436=J436,"TAM",(CONCATENATE(G436,"/",H436)))</f>
        <v>1/3</v>
      </c>
      <c r="L436" s="29">
        <f>357.12*1/3</f>
        <v>119.03999999999999</v>
      </c>
      <c r="M436" s="30">
        <v>0</v>
      </c>
      <c r="N436" s="16" t="str">
        <f>IF(M436=0,"0",(O436*M436))</f>
        <v>0</v>
      </c>
      <c r="O436" s="16">
        <f>IF(W436=1,L436,((D436*G436/H436)-P436)/(1-V436)-S436-T436)</f>
        <v>119.04</v>
      </c>
      <c r="P436" s="16">
        <v>0</v>
      </c>
      <c r="Q436" s="16">
        <f>IF(U436=0,"0",O436*U436)</f>
        <v>39.848929471292294</v>
      </c>
      <c r="R436" s="17">
        <f>IF(U436=0,(((D436*G436/H436)-P436-S436-T436)/(1-V436)),(((D436*G436/H436)-P436-S436-T436)/(1-V436))-((D436*G436/H436)-P436-S436-T436)*U436/(1-V436))</f>
        <v>79.19107052870771</v>
      </c>
      <c r="S436" s="12">
        <v>0</v>
      </c>
      <c r="T436" s="12">
        <v>0</v>
      </c>
      <c r="U436" s="12">
        <v>0.334752431714485</v>
      </c>
      <c r="V436" s="12">
        <v>0</v>
      </c>
      <c r="W436" s="28">
        <f>IF(V436&gt;U436,1,V436)</f>
        <v>0</v>
      </c>
      <c r="X436" s="12">
        <v>1</v>
      </c>
      <c r="Y436" s="16">
        <v>0</v>
      </c>
      <c r="Z436" s="42" t="str">
        <f>IF(OR(W436=1,W436=0),"0",(Q436-N436))</f>
        <v>0</v>
      </c>
      <c r="AA436" s="53" t="s">
        <v>1291</v>
      </c>
      <c r="AB436" s="16" t="s">
        <v>1292</v>
      </c>
      <c r="AC436" s="16">
        <v>79.19</v>
      </c>
      <c r="AD436" s="16">
        <v>600.89</v>
      </c>
      <c r="AE436" s="16">
        <f>ROUND(AC436*100,0)</f>
        <v>7919</v>
      </c>
      <c r="AF436" s="16">
        <f>ROUND(AD436*100,0)</f>
        <v>60089</v>
      </c>
      <c r="AG436" s="19" t="str">
        <f>IF(AC436=AD436,"TAM",(CONCATENATE(AE436,"/",AF436)))</f>
        <v>7919/60089</v>
      </c>
      <c r="AH436" s="11" t="s">
        <v>50</v>
      </c>
      <c r="AI436" s="21" t="s">
        <v>50</v>
      </c>
      <c r="AJ436" s="71" t="s">
        <v>2425</v>
      </c>
      <c r="AK436" s="54" t="s">
        <v>50</v>
      </c>
      <c r="AL436" s="1" t="s">
        <v>50</v>
      </c>
    </row>
    <row r="437" spans="1:37" ht="12.75" customHeight="1">
      <c r="A437" s="43"/>
      <c r="B437" s="13"/>
      <c r="C437" s="13"/>
      <c r="D437" s="31"/>
      <c r="E437" s="14" t="s">
        <v>50</v>
      </c>
      <c r="F437" s="14"/>
      <c r="G437" s="14"/>
      <c r="H437" s="14"/>
      <c r="I437" s="31"/>
      <c r="J437" s="31"/>
      <c r="K437" s="15"/>
      <c r="L437" s="15"/>
      <c r="M437" s="15"/>
      <c r="N437" s="15"/>
      <c r="O437" s="15"/>
      <c r="P437" s="14"/>
      <c r="Q437" s="14"/>
      <c r="R437" s="14"/>
      <c r="S437" s="14"/>
      <c r="T437" s="14"/>
      <c r="U437" s="14"/>
      <c r="V437" s="14"/>
      <c r="W437" s="14"/>
      <c r="X437" s="14"/>
      <c r="Y437" s="13"/>
      <c r="Z437" s="44"/>
      <c r="AA437" s="43"/>
      <c r="AB437" s="13"/>
      <c r="AC437" s="13"/>
      <c r="AD437" s="13"/>
      <c r="AE437" s="13"/>
      <c r="AF437" s="13"/>
      <c r="AG437" s="13"/>
      <c r="AH437" s="13"/>
      <c r="AI437" s="13"/>
      <c r="AJ437" s="72"/>
      <c r="AK437" s="44"/>
    </row>
    <row r="438" spans="1:38" ht="12.75" customHeight="1">
      <c r="A438" s="41">
        <v>150</v>
      </c>
      <c r="B438" s="10">
        <v>1048</v>
      </c>
      <c r="C438" s="10" t="s">
        <v>1293</v>
      </c>
      <c r="D438" s="16">
        <v>357.12</v>
      </c>
      <c r="E438" s="20" t="s">
        <v>1294</v>
      </c>
      <c r="F438" s="20" t="s">
        <v>1295</v>
      </c>
      <c r="G438" s="12">
        <v>1</v>
      </c>
      <c r="H438" s="12">
        <v>3</v>
      </c>
      <c r="I438" s="16">
        <f>ROUND(G438,0)</f>
        <v>1</v>
      </c>
      <c r="J438" s="16">
        <f>ROUND(H438,0)</f>
        <v>3</v>
      </c>
      <c r="K438" s="18" t="str">
        <f>IF(I438=J438,"TAM",(CONCATENATE(G438,"/",H438)))</f>
        <v>1/3</v>
      </c>
      <c r="L438" s="29">
        <f>357.12*1/3</f>
        <v>119.03999999999999</v>
      </c>
      <c r="M438" s="30">
        <v>0</v>
      </c>
      <c r="N438" s="16" t="str">
        <f>IF(M438=0,"0",(O438*M438))</f>
        <v>0</v>
      </c>
      <c r="O438" s="16">
        <f>IF(W438=1,L438,((D438*G438/H438)-P438)/(1-V438)-S438-T438)</f>
        <v>119.04</v>
      </c>
      <c r="P438" s="16">
        <v>0</v>
      </c>
      <c r="Q438" s="16">
        <f>IF(U438=0,"0",O438*U438)</f>
        <v>39.848929471292294</v>
      </c>
      <c r="R438" s="17">
        <f>IF(U438=0,(((D438*G438/H438)-P438-S438-T438)/(1-V438)),(((D438*G438/H438)-P438-S438-T438)/(1-V438))-((D438*G438/H438)-P438-S438-T438)*U438/(1-V438))</f>
        <v>79.19107052870771</v>
      </c>
      <c r="S438" s="12">
        <v>0</v>
      </c>
      <c r="T438" s="12">
        <v>0</v>
      </c>
      <c r="U438" s="12">
        <v>0.334752431714485</v>
      </c>
      <c r="V438" s="12">
        <v>0</v>
      </c>
      <c r="W438" s="28">
        <f>IF(V438&gt;U438,1,V438)</f>
        <v>0</v>
      </c>
      <c r="X438" s="12">
        <v>1</v>
      </c>
      <c r="Y438" s="16">
        <v>0</v>
      </c>
      <c r="Z438" s="42" t="str">
        <f>IF(OR(W438=1,W438=0),"0",(Q438-N438))</f>
        <v>0</v>
      </c>
      <c r="AA438" s="53" t="s">
        <v>1296</v>
      </c>
      <c r="AB438" s="16" t="s">
        <v>1297</v>
      </c>
      <c r="AC438" s="16">
        <v>79.19</v>
      </c>
      <c r="AD438" s="16">
        <v>600.89</v>
      </c>
      <c r="AE438" s="16">
        <f>ROUND(AC438*100,0)</f>
        <v>7919</v>
      </c>
      <c r="AF438" s="16">
        <f>ROUND(AD438*100,0)</f>
        <v>60089</v>
      </c>
      <c r="AG438" s="19" t="str">
        <f>IF(AC438=AD438,"TAM",(CONCATENATE(AE438,"/",AF438)))</f>
        <v>7919/60089</v>
      </c>
      <c r="AH438" s="11" t="s">
        <v>50</v>
      </c>
      <c r="AI438" s="21" t="s">
        <v>50</v>
      </c>
      <c r="AJ438" s="71" t="s">
        <v>2425</v>
      </c>
      <c r="AK438" s="54" t="s">
        <v>50</v>
      </c>
      <c r="AL438" s="1" t="s">
        <v>50</v>
      </c>
    </row>
    <row r="439" spans="1:37" ht="12.75" customHeight="1">
      <c r="A439" s="43"/>
      <c r="B439" s="13"/>
      <c r="C439" s="13"/>
      <c r="D439" s="31"/>
      <c r="E439" s="14" t="s">
        <v>50</v>
      </c>
      <c r="F439" s="14"/>
      <c r="G439" s="14"/>
      <c r="H439" s="14"/>
      <c r="I439" s="31"/>
      <c r="J439" s="31"/>
      <c r="K439" s="15"/>
      <c r="L439" s="15"/>
      <c r="M439" s="15"/>
      <c r="N439" s="15"/>
      <c r="O439" s="15"/>
      <c r="P439" s="14"/>
      <c r="Q439" s="14"/>
      <c r="R439" s="14"/>
      <c r="S439" s="14"/>
      <c r="T439" s="14"/>
      <c r="U439" s="14"/>
      <c r="V439" s="14"/>
      <c r="W439" s="14"/>
      <c r="X439" s="14"/>
      <c r="Y439" s="13"/>
      <c r="Z439" s="44"/>
      <c r="AA439" s="43"/>
      <c r="AB439" s="13"/>
      <c r="AC439" s="13"/>
      <c r="AD439" s="13"/>
      <c r="AE439" s="13"/>
      <c r="AF439" s="13"/>
      <c r="AG439" s="13"/>
      <c r="AH439" s="13"/>
      <c r="AI439" s="13"/>
      <c r="AJ439" s="72"/>
      <c r="AK439" s="44"/>
    </row>
    <row r="440" spans="1:38" ht="12.75" customHeight="1">
      <c r="A440" s="41">
        <v>155</v>
      </c>
      <c r="B440" s="10">
        <v>1050</v>
      </c>
      <c r="C440" s="10" t="s">
        <v>1298</v>
      </c>
      <c r="D440" s="16">
        <v>909.57</v>
      </c>
      <c r="E440" s="20" t="s">
        <v>1299</v>
      </c>
      <c r="F440" s="20" t="s">
        <v>1300</v>
      </c>
      <c r="G440" s="12">
        <v>1</v>
      </c>
      <c r="H440" s="12">
        <v>1</v>
      </c>
      <c r="I440" s="16">
        <f>ROUND(G440,0)</f>
        <v>1</v>
      </c>
      <c r="J440" s="16">
        <f>ROUND(H440,0)</f>
        <v>1</v>
      </c>
      <c r="K440" s="18" t="str">
        <f>IF(I440=J440,"TAM",(CONCATENATE(G440,"/",H440)))</f>
        <v>TAM</v>
      </c>
      <c r="L440" s="29">
        <f>909.57*1/1</f>
        <v>909.57</v>
      </c>
      <c r="M440" s="30">
        <v>0</v>
      </c>
      <c r="N440" s="16" t="str">
        <f>IF(M440=0,"0",(O440*M440))</f>
        <v>0</v>
      </c>
      <c r="O440" s="16">
        <f>IF(W440=1,L440,((D440*G440/H440)-P440)/(1-V440)-S440-T440)</f>
        <v>909.57</v>
      </c>
      <c r="P440" s="16">
        <v>0</v>
      </c>
      <c r="Q440" s="16">
        <f>IF(U440=0,"0",O440*U440)</f>
        <v>304.48076931454415</v>
      </c>
      <c r="R440" s="17">
        <f>IF(U440=0,(((D440*G440/H440)-P440-S440-T440)/(1-V440)),(((D440*G440/H440)-P440-S440-T440)/(1-V440))-((D440*G440/H440)-P440-S440-T440)*U440/(1-V440))</f>
        <v>605.089230685456</v>
      </c>
      <c r="S440" s="12">
        <v>0</v>
      </c>
      <c r="T440" s="12">
        <v>0</v>
      </c>
      <c r="U440" s="12">
        <v>0.334752431714485</v>
      </c>
      <c r="V440" s="12">
        <v>0</v>
      </c>
      <c r="W440" s="28">
        <f>IF(V440&gt;U440,1,V440)</f>
        <v>0</v>
      </c>
      <c r="X440" s="12">
        <v>1</v>
      </c>
      <c r="Y440" s="16">
        <v>0</v>
      </c>
      <c r="Z440" s="42" t="str">
        <f>IF(OR(W440=1,W440=0),"0",(Q440-N440))</f>
        <v>0</v>
      </c>
      <c r="AA440" s="53" t="s">
        <v>1302</v>
      </c>
      <c r="AB440" s="16" t="s">
        <v>1303</v>
      </c>
      <c r="AC440" s="16">
        <v>363.32</v>
      </c>
      <c r="AD440" s="16">
        <v>600.89</v>
      </c>
      <c r="AE440" s="16">
        <f>ROUND(AC440*100,0)</f>
        <v>36332</v>
      </c>
      <c r="AF440" s="16">
        <f>ROUND(AD440*100,0)</f>
        <v>60089</v>
      </c>
      <c r="AG440" s="19" t="str">
        <f>IF(AC440=AD440,"TAM",(CONCATENATE(AE440,"/",AF440)))</f>
        <v>36332/60089</v>
      </c>
      <c r="AH440" s="11" t="s">
        <v>50</v>
      </c>
      <c r="AI440" s="21" t="s">
        <v>50</v>
      </c>
      <c r="AJ440" s="71" t="s">
        <v>2425</v>
      </c>
      <c r="AK440" s="54" t="s">
        <v>50</v>
      </c>
      <c r="AL440" s="1" t="s">
        <v>50</v>
      </c>
    </row>
    <row r="441" spans="1:37" ht="32.25" customHeight="1">
      <c r="A441" s="43"/>
      <c r="B441" s="13"/>
      <c r="C441" s="13"/>
      <c r="D441" s="31"/>
      <c r="E441" s="34" t="s">
        <v>1301</v>
      </c>
      <c r="F441" s="14"/>
      <c r="G441" s="14"/>
      <c r="H441" s="14"/>
      <c r="I441" s="31"/>
      <c r="J441" s="31"/>
      <c r="K441" s="15"/>
      <c r="L441" s="15"/>
      <c r="M441" s="15"/>
      <c r="N441" s="15"/>
      <c r="O441" s="15"/>
      <c r="P441" s="14"/>
      <c r="Q441" s="14"/>
      <c r="R441" s="14"/>
      <c r="S441" s="14"/>
      <c r="T441" s="14"/>
      <c r="U441" s="14"/>
      <c r="V441" s="14"/>
      <c r="W441" s="14"/>
      <c r="X441" s="14"/>
      <c r="Y441" s="13"/>
      <c r="Z441" s="44"/>
      <c r="AA441" s="43"/>
      <c r="AB441" s="13"/>
      <c r="AC441" s="13"/>
      <c r="AD441" s="13"/>
      <c r="AE441" s="13"/>
      <c r="AF441" s="13"/>
      <c r="AG441" s="13"/>
      <c r="AH441" s="13"/>
      <c r="AI441" s="13"/>
      <c r="AJ441" s="72"/>
      <c r="AK441" s="44"/>
    </row>
    <row r="442" spans="1:38" ht="12.75" customHeight="1">
      <c r="A442" s="41">
        <v>131</v>
      </c>
      <c r="B442" s="10">
        <v>1043</v>
      </c>
      <c r="C442" s="10" t="s">
        <v>1304</v>
      </c>
      <c r="D442" s="16">
        <v>1030.91</v>
      </c>
      <c r="E442" s="20" t="s">
        <v>1305</v>
      </c>
      <c r="F442" s="20" t="s">
        <v>1306</v>
      </c>
      <c r="G442" s="12">
        <v>1</v>
      </c>
      <c r="H442" s="12">
        <v>1</v>
      </c>
      <c r="I442" s="16">
        <f>ROUND(G442,0)</f>
        <v>1</v>
      </c>
      <c r="J442" s="16">
        <f>ROUND(H442,0)</f>
        <v>1</v>
      </c>
      <c r="K442" s="18" t="str">
        <f>IF(I442=J442,"TAM",(CONCATENATE(G442,"/",H442)))</f>
        <v>TAM</v>
      </c>
      <c r="L442" s="29">
        <f>1030.91*1/1</f>
        <v>1030.91</v>
      </c>
      <c r="M442" s="30">
        <v>0</v>
      </c>
      <c r="N442" s="16" t="str">
        <f>IF(M442=0,"0",(O442*M442))</f>
        <v>0</v>
      </c>
      <c r="O442" s="16">
        <f>IF(W442=1,L442,((D442*G442/H442)-P442)/(1-V442)-S442-T442)</f>
        <v>1030.91</v>
      </c>
      <c r="P442" s="16">
        <v>0</v>
      </c>
      <c r="Q442" s="16">
        <f>IF(U442=0,"0",O442*U442)</f>
        <v>345.09962937877975</v>
      </c>
      <c r="R442" s="17">
        <f>IF(U442=0,(((D442*G442/H442)-P442-S442-T442)/(1-V442)),(((D442*G442/H442)-P442-S442-T442)/(1-V442))-((D442*G442/H442)-P442-S442-T442)*U442/(1-V442))</f>
        <v>685.8103706212203</v>
      </c>
      <c r="S442" s="12">
        <v>0</v>
      </c>
      <c r="T442" s="12">
        <v>0</v>
      </c>
      <c r="U442" s="12">
        <v>0.334752431714485</v>
      </c>
      <c r="V442" s="12">
        <v>0</v>
      </c>
      <c r="W442" s="28">
        <f>IF(V442&gt;U442,1,V442)</f>
        <v>0</v>
      </c>
      <c r="X442" s="12">
        <v>1</v>
      </c>
      <c r="Y442" s="16">
        <v>0</v>
      </c>
      <c r="Z442" s="42" t="str">
        <f>IF(OR(W442=1,W442=0),"0",(Q442-N442))</f>
        <v>0</v>
      </c>
      <c r="AA442" s="53" t="s">
        <v>1307</v>
      </c>
      <c r="AB442" s="16" t="s">
        <v>1309</v>
      </c>
      <c r="AC442" s="16">
        <v>685.81</v>
      </c>
      <c r="AD442" s="16">
        <v>840.21</v>
      </c>
      <c r="AE442" s="16">
        <f>ROUND(AC442*100,0)</f>
        <v>68581</v>
      </c>
      <c r="AF442" s="16">
        <f>ROUND(AD442*100,0)</f>
        <v>84021</v>
      </c>
      <c r="AG442" s="19" t="str">
        <f>IF(AC442=AD442,"TAM",(CONCATENATE(AE442,"/",AF442)))</f>
        <v>68581/84021</v>
      </c>
      <c r="AH442" s="11" t="s">
        <v>50</v>
      </c>
      <c r="AI442" s="21" t="s">
        <v>50</v>
      </c>
      <c r="AJ442" s="21" t="s">
        <v>1308</v>
      </c>
      <c r="AK442" s="54" t="s">
        <v>50</v>
      </c>
      <c r="AL442" s="1" t="s">
        <v>50</v>
      </c>
    </row>
    <row r="443" spans="1:37" ht="12.75" customHeight="1">
      <c r="A443" s="43"/>
      <c r="B443" s="13"/>
      <c r="C443" s="13"/>
      <c r="D443" s="31"/>
      <c r="E443" s="14" t="s">
        <v>50</v>
      </c>
      <c r="F443" s="14"/>
      <c r="G443" s="14"/>
      <c r="H443" s="14"/>
      <c r="I443" s="31"/>
      <c r="J443" s="31"/>
      <c r="K443" s="15"/>
      <c r="L443" s="15"/>
      <c r="M443" s="15"/>
      <c r="N443" s="15"/>
      <c r="O443" s="15"/>
      <c r="P443" s="14"/>
      <c r="Q443" s="14"/>
      <c r="R443" s="14"/>
      <c r="S443" s="14"/>
      <c r="T443" s="14"/>
      <c r="U443" s="14"/>
      <c r="V443" s="14"/>
      <c r="W443" s="14"/>
      <c r="X443" s="14"/>
      <c r="Y443" s="13"/>
      <c r="Z443" s="44"/>
      <c r="AA443" s="43"/>
      <c r="AB443" s="13"/>
      <c r="AC443" s="13"/>
      <c r="AD443" s="13"/>
      <c r="AE443" s="13"/>
      <c r="AF443" s="13"/>
      <c r="AG443" s="13"/>
      <c r="AH443" s="13"/>
      <c r="AI443" s="13"/>
      <c r="AJ443" s="13"/>
      <c r="AK443" s="44"/>
    </row>
    <row r="444" spans="1:38" ht="12.75" customHeight="1">
      <c r="A444" s="41">
        <v>132</v>
      </c>
      <c r="B444" s="10">
        <v>1044</v>
      </c>
      <c r="C444" s="10" t="s">
        <v>1310</v>
      </c>
      <c r="D444" s="16">
        <v>169.86</v>
      </c>
      <c r="E444" s="20" t="s">
        <v>1311</v>
      </c>
      <c r="F444" s="20" t="s">
        <v>1312</v>
      </c>
      <c r="G444" s="12">
        <v>1</v>
      </c>
      <c r="H444" s="12">
        <v>1</v>
      </c>
      <c r="I444" s="16">
        <f>ROUND(G444,0)</f>
        <v>1</v>
      </c>
      <c r="J444" s="16">
        <f>ROUND(H444,0)</f>
        <v>1</v>
      </c>
      <c r="K444" s="18" t="str">
        <f>IF(I444=J444,"TAM",(CONCATENATE(G444,"/",H444)))</f>
        <v>TAM</v>
      </c>
      <c r="L444" s="29">
        <f>169.86*1/1</f>
        <v>169.86</v>
      </c>
      <c r="M444" s="30">
        <v>0</v>
      </c>
      <c r="N444" s="16" t="str">
        <f>IF(M444=0,"0",(O444*M444))</f>
        <v>0</v>
      </c>
      <c r="O444" s="16">
        <f>IF(W444=1,L444,((D444*G444/H444)-P444)/(1-V444)-S444-T444)</f>
        <v>169.86</v>
      </c>
      <c r="P444" s="16">
        <v>0</v>
      </c>
      <c r="Q444" s="16">
        <f>IF(U444=0,"0",O444*U444)</f>
        <v>56.86104805102242</v>
      </c>
      <c r="R444" s="17">
        <f>IF(U444=0,(((D444*G444/H444)-P444-S444-T444)/(1-V444)),(((D444*G444/H444)-P444-S444-T444)/(1-V444))-((D444*G444/H444)-P444-S444-T444)*U444/(1-V444))</f>
        <v>112.99895194897759</v>
      </c>
      <c r="S444" s="12">
        <v>0</v>
      </c>
      <c r="T444" s="12">
        <v>0</v>
      </c>
      <c r="U444" s="12">
        <v>0.334752431714485</v>
      </c>
      <c r="V444" s="12">
        <v>0</v>
      </c>
      <c r="W444" s="28">
        <f>IF(V444&gt;U444,1,V444)</f>
        <v>0</v>
      </c>
      <c r="X444" s="12">
        <v>1</v>
      </c>
      <c r="Y444" s="16">
        <v>0</v>
      </c>
      <c r="Z444" s="42" t="str">
        <f>IF(OR(W444=1,W444=0),"0",(Q444-N444))</f>
        <v>0</v>
      </c>
      <c r="AA444" s="53" t="s">
        <v>1313</v>
      </c>
      <c r="AB444" s="16" t="s">
        <v>1315</v>
      </c>
      <c r="AC444" s="16">
        <v>113</v>
      </c>
      <c r="AD444" s="16">
        <v>840.21</v>
      </c>
      <c r="AE444" s="16">
        <f>ROUND(AC444*100,0)</f>
        <v>11300</v>
      </c>
      <c r="AF444" s="16">
        <f>ROUND(AD444*100,0)</f>
        <v>84021</v>
      </c>
      <c r="AG444" s="19" t="str">
        <f>IF(AC444=AD444,"TAM",(CONCATENATE(AE444,"/",AF444)))</f>
        <v>11300/84021</v>
      </c>
      <c r="AH444" s="11" t="s">
        <v>50</v>
      </c>
      <c r="AI444" s="21" t="s">
        <v>50</v>
      </c>
      <c r="AJ444" s="21" t="s">
        <v>1314</v>
      </c>
      <c r="AK444" s="54" t="s">
        <v>50</v>
      </c>
      <c r="AL444" s="1" t="s">
        <v>50</v>
      </c>
    </row>
    <row r="445" spans="1:37" ht="12.75" customHeight="1">
      <c r="A445" s="43"/>
      <c r="B445" s="13"/>
      <c r="C445" s="13"/>
      <c r="D445" s="31"/>
      <c r="E445" s="14" t="s">
        <v>50</v>
      </c>
      <c r="F445" s="14"/>
      <c r="G445" s="14"/>
      <c r="H445" s="14"/>
      <c r="I445" s="31"/>
      <c r="J445" s="31"/>
      <c r="K445" s="15"/>
      <c r="L445" s="15"/>
      <c r="M445" s="15"/>
      <c r="N445" s="15"/>
      <c r="O445" s="15"/>
      <c r="P445" s="14"/>
      <c r="Q445" s="14"/>
      <c r="R445" s="14"/>
      <c r="S445" s="14"/>
      <c r="T445" s="14"/>
      <c r="U445" s="14"/>
      <c r="V445" s="14"/>
      <c r="W445" s="14"/>
      <c r="X445" s="14"/>
      <c r="Y445" s="13"/>
      <c r="Z445" s="44"/>
      <c r="AA445" s="43"/>
      <c r="AB445" s="13"/>
      <c r="AC445" s="13"/>
      <c r="AD445" s="13"/>
      <c r="AE445" s="13"/>
      <c r="AF445" s="13"/>
      <c r="AG445" s="13"/>
      <c r="AH445" s="13"/>
      <c r="AI445" s="13"/>
      <c r="AJ445" s="13"/>
      <c r="AK445" s="44"/>
    </row>
    <row r="446" spans="1:38" ht="12.75" customHeight="1">
      <c r="A446" s="41">
        <v>133</v>
      </c>
      <c r="B446" s="10">
        <v>1045</v>
      </c>
      <c r="C446" s="10" t="s">
        <v>1316</v>
      </c>
      <c r="D446" s="16">
        <v>468.2</v>
      </c>
      <c r="E446" s="20" t="s">
        <v>1317</v>
      </c>
      <c r="F446" s="20" t="s">
        <v>1318</v>
      </c>
      <c r="G446" s="12">
        <v>1</v>
      </c>
      <c r="H446" s="12">
        <v>1</v>
      </c>
      <c r="I446" s="16">
        <f>ROUND(G446,0)</f>
        <v>1</v>
      </c>
      <c r="J446" s="16">
        <f>ROUND(H446,0)</f>
        <v>1</v>
      </c>
      <c r="K446" s="18" t="str">
        <f>IF(I446=J446,"TAM",(CONCATENATE(G446,"/",H446)))</f>
        <v>TAM</v>
      </c>
      <c r="L446" s="29">
        <f>468.2*1/1</f>
        <v>468.2</v>
      </c>
      <c r="M446" s="30">
        <v>0</v>
      </c>
      <c r="N446" s="16" t="str">
        <f>IF(M446=0,"0",(O446*M446))</f>
        <v>0</v>
      </c>
      <c r="O446" s="16">
        <f>IF(W446=1,L446,((D446*G446/H446)-P446)/(1-V446)-S446-T446)</f>
        <v>468.2</v>
      </c>
      <c r="P446" s="16">
        <v>0</v>
      </c>
      <c r="Q446" s="16">
        <f>IF(U446=0,"0",O446*U446)</f>
        <v>156.73108852872187</v>
      </c>
      <c r="R446" s="17">
        <f>IF(U446=0,(((D446*G446/H446)-P446-S446-T446)/(1-V446)),(((D446*G446/H446)-P446-S446-T446)/(1-V446))-((D446*G446/H446)-P446-S446-T446)*U446/(1-V446))</f>
        <v>311.46891147127815</v>
      </c>
      <c r="S446" s="12">
        <v>0</v>
      </c>
      <c r="T446" s="12">
        <v>0</v>
      </c>
      <c r="U446" s="12">
        <v>0.334752431714485</v>
      </c>
      <c r="V446" s="12">
        <v>0</v>
      </c>
      <c r="W446" s="28">
        <f>IF(V446&gt;U446,1,V446)</f>
        <v>0</v>
      </c>
      <c r="X446" s="12">
        <v>1</v>
      </c>
      <c r="Y446" s="16">
        <v>0</v>
      </c>
      <c r="Z446" s="42" t="str">
        <f>IF(OR(W446=1,W446=0),"0",(Q446-N446))</f>
        <v>0</v>
      </c>
      <c r="AA446" s="53" t="s">
        <v>1320</v>
      </c>
      <c r="AB446" s="16" t="s">
        <v>1322</v>
      </c>
      <c r="AC446" s="16">
        <v>41.4</v>
      </c>
      <c r="AD446" s="16">
        <v>840.21</v>
      </c>
      <c r="AE446" s="16">
        <f>ROUND(AC446*100,0)</f>
        <v>4140</v>
      </c>
      <c r="AF446" s="16">
        <f>ROUND(AD446*100,0)</f>
        <v>84021</v>
      </c>
      <c r="AG446" s="19" t="str">
        <f>IF(AC446=AD446,"TAM",(CONCATENATE(AE446,"/",AF446)))</f>
        <v>4140/84021</v>
      </c>
      <c r="AH446" s="11" t="s">
        <v>50</v>
      </c>
      <c r="AI446" s="21" t="s">
        <v>50</v>
      </c>
      <c r="AJ446" s="21" t="s">
        <v>1321</v>
      </c>
      <c r="AK446" s="54" t="s">
        <v>50</v>
      </c>
      <c r="AL446" s="1" t="s">
        <v>50</v>
      </c>
    </row>
    <row r="447" spans="1:37" ht="99" customHeight="1">
      <c r="A447" s="43"/>
      <c r="B447" s="13"/>
      <c r="C447" s="13"/>
      <c r="D447" s="31"/>
      <c r="E447" s="34" t="s">
        <v>1319</v>
      </c>
      <c r="F447" s="14"/>
      <c r="G447" s="14"/>
      <c r="H447" s="14"/>
      <c r="I447" s="31"/>
      <c r="J447" s="31"/>
      <c r="K447" s="15"/>
      <c r="L447" s="15"/>
      <c r="M447" s="15"/>
      <c r="N447" s="15"/>
      <c r="O447" s="15"/>
      <c r="P447" s="14"/>
      <c r="Q447" s="14"/>
      <c r="R447" s="14"/>
      <c r="S447" s="14"/>
      <c r="T447" s="14"/>
      <c r="U447" s="14"/>
      <c r="V447" s="14"/>
      <c r="W447" s="14"/>
      <c r="X447" s="14"/>
      <c r="Y447" s="13"/>
      <c r="Z447" s="44"/>
      <c r="AA447" s="43"/>
      <c r="AB447" s="13"/>
      <c r="AC447" s="13"/>
      <c r="AD447" s="13"/>
      <c r="AE447" s="13"/>
      <c r="AF447" s="13"/>
      <c r="AG447" s="13"/>
      <c r="AH447" s="13"/>
      <c r="AI447" s="13"/>
      <c r="AJ447" s="13"/>
      <c r="AK447" s="44"/>
    </row>
    <row r="448" spans="1:38" ht="12.75" customHeight="1">
      <c r="A448" s="41">
        <v>130</v>
      </c>
      <c r="B448" s="10">
        <v>1042</v>
      </c>
      <c r="C448" s="10" t="s">
        <v>1323</v>
      </c>
      <c r="D448" s="16">
        <v>1027.34</v>
      </c>
      <c r="E448" s="20" t="s">
        <v>1324</v>
      </c>
      <c r="F448" s="20" t="s">
        <v>1325</v>
      </c>
      <c r="G448" s="12">
        <v>1</v>
      </c>
      <c r="H448" s="12">
        <v>1</v>
      </c>
      <c r="I448" s="16">
        <f>ROUND(G448,0)</f>
        <v>1</v>
      </c>
      <c r="J448" s="16">
        <f>ROUND(H448,0)</f>
        <v>1</v>
      </c>
      <c r="K448" s="18" t="str">
        <f>IF(I448=J448,"TAM",(CONCATENATE(G448,"/",H448)))</f>
        <v>TAM</v>
      </c>
      <c r="L448" s="29">
        <f>1027.34*1/1</f>
        <v>1027.34</v>
      </c>
      <c r="M448" s="30">
        <v>0</v>
      </c>
      <c r="N448" s="16" t="str">
        <f>IF(M448=0,"0",(O448*M448))</f>
        <v>0</v>
      </c>
      <c r="O448" s="16">
        <f>IF(W448=1,L448,((D448*G448/H448)-P448)/(1-V448)-S448-T448)</f>
        <v>1027.34</v>
      </c>
      <c r="P448" s="16">
        <v>0</v>
      </c>
      <c r="Q448" s="16">
        <f>IF(U448=0,"0",O448*U448)</f>
        <v>343.90456319755896</v>
      </c>
      <c r="R448" s="17">
        <f>IF(U448=0,(((D448*G448/H448)-P448-S448-T448)/(1-V448)),(((D448*G448/H448)-P448-S448-T448)/(1-V448))-((D448*G448/H448)-P448-S448-T448)*U448/(1-V448))</f>
        <v>683.435436802441</v>
      </c>
      <c r="S448" s="12">
        <v>0</v>
      </c>
      <c r="T448" s="12">
        <v>0</v>
      </c>
      <c r="U448" s="12">
        <v>0.334752431714485</v>
      </c>
      <c r="V448" s="12">
        <v>0</v>
      </c>
      <c r="W448" s="28">
        <f>IF(V448&gt;U448,1,V448)</f>
        <v>0</v>
      </c>
      <c r="X448" s="12">
        <v>1</v>
      </c>
      <c r="Y448" s="16">
        <v>0</v>
      </c>
      <c r="Z448" s="42" t="str">
        <f>IF(OR(W448=1,W448=0),"0",(Q448-N448))</f>
        <v>0</v>
      </c>
      <c r="AA448" s="53" t="s">
        <v>1326</v>
      </c>
      <c r="AB448" s="16" t="s">
        <v>1328</v>
      </c>
      <c r="AC448" s="16">
        <v>683.44</v>
      </c>
      <c r="AD448" s="16">
        <v>804.22</v>
      </c>
      <c r="AE448" s="16">
        <f>ROUND(AC448*100,0)</f>
        <v>68344</v>
      </c>
      <c r="AF448" s="16">
        <f>ROUND(AD448*100,0)</f>
        <v>80422</v>
      </c>
      <c r="AG448" s="19" t="str">
        <f>IF(AC448=AD448,"TAM",(CONCATENATE(AE448,"/",AF448)))</f>
        <v>68344/80422</v>
      </c>
      <c r="AH448" s="11" t="s">
        <v>50</v>
      </c>
      <c r="AI448" s="21" t="s">
        <v>50</v>
      </c>
      <c r="AJ448" s="21" t="s">
        <v>1327</v>
      </c>
      <c r="AK448" s="54" t="s">
        <v>50</v>
      </c>
      <c r="AL448" s="1" t="s">
        <v>50</v>
      </c>
    </row>
    <row r="449" spans="1:37" ht="12.75" customHeight="1">
      <c r="A449" s="43"/>
      <c r="B449" s="13"/>
      <c r="C449" s="13"/>
      <c r="D449" s="31"/>
      <c r="E449" s="14" t="s">
        <v>50</v>
      </c>
      <c r="F449" s="14"/>
      <c r="G449" s="14"/>
      <c r="H449" s="14"/>
      <c r="I449" s="31"/>
      <c r="J449" s="31"/>
      <c r="K449" s="15"/>
      <c r="L449" s="15"/>
      <c r="M449" s="15"/>
      <c r="N449" s="15"/>
      <c r="O449" s="15"/>
      <c r="P449" s="14"/>
      <c r="Q449" s="14"/>
      <c r="R449" s="14"/>
      <c r="S449" s="14"/>
      <c r="T449" s="14"/>
      <c r="U449" s="14"/>
      <c r="V449" s="14"/>
      <c r="W449" s="14"/>
      <c r="X449" s="14"/>
      <c r="Y449" s="13"/>
      <c r="Z449" s="44"/>
      <c r="AA449" s="43"/>
      <c r="AB449" s="13"/>
      <c r="AC449" s="13"/>
      <c r="AD449" s="13"/>
      <c r="AE449" s="13"/>
      <c r="AF449" s="13"/>
      <c r="AG449" s="13"/>
      <c r="AH449" s="13"/>
      <c r="AI449" s="13"/>
      <c r="AJ449" s="13"/>
      <c r="AK449" s="44"/>
    </row>
    <row r="450" spans="1:38" ht="12.75" customHeight="1">
      <c r="A450" s="41">
        <v>212</v>
      </c>
      <c r="B450" s="10">
        <v>1065</v>
      </c>
      <c r="C450" s="10" t="s">
        <v>1329</v>
      </c>
      <c r="D450" s="16">
        <v>181.56</v>
      </c>
      <c r="E450" s="20" t="s">
        <v>1330</v>
      </c>
      <c r="F450" s="20" t="s">
        <v>1331</v>
      </c>
      <c r="G450" s="12">
        <v>1</v>
      </c>
      <c r="H450" s="12">
        <v>1</v>
      </c>
      <c r="I450" s="16">
        <f>ROUND(G450,0)</f>
        <v>1</v>
      </c>
      <c r="J450" s="16">
        <f>ROUND(H450,0)</f>
        <v>1</v>
      </c>
      <c r="K450" s="18" t="str">
        <f>IF(I450=J450,"TAM",(CONCATENATE(G450,"/",H450)))</f>
        <v>TAM</v>
      </c>
      <c r="L450" s="29">
        <f>181.56*1/1</f>
        <v>181.56</v>
      </c>
      <c r="M450" s="30">
        <v>0</v>
      </c>
      <c r="N450" s="16" t="str">
        <f>IF(M450=0,"0",(O450*M450))</f>
        <v>0</v>
      </c>
      <c r="O450" s="16">
        <f>IF(W450=1,L450,((D450*G450/H450)-P450)/(1-V450)-S450-T450)</f>
        <v>181.56</v>
      </c>
      <c r="P450" s="16">
        <v>0</v>
      </c>
      <c r="Q450" s="16">
        <f>IF(U450=0,"0",O450*U450)</f>
        <v>60.777651502081895</v>
      </c>
      <c r="R450" s="17">
        <f>IF(U450=0,(((D450*G450/H450)-P450-S450-T450)/(1-V450)),(((D450*G450/H450)-P450-S450-T450)/(1-V450))-((D450*G450/H450)-P450-S450-T450)*U450/(1-V450))</f>
        <v>120.78234849791811</v>
      </c>
      <c r="S450" s="12">
        <v>0</v>
      </c>
      <c r="T450" s="12">
        <v>0</v>
      </c>
      <c r="U450" s="12">
        <v>0.334752431714485</v>
      </c>
      <c r="V450" s="12">
        <v>0</v>
      </c>
      <c r="W450" s="28">
        <f>IF(V450&gt;U450,1,V450)</f>
        <v>0</v>
      </c>
      <c r="X450" s="12">
        <v>1</v>
      </c>
      <c r="Y450" s="16">
        <v>0</v>
      </c>
      <c r="Z450" s="42" t="str">
        <f>IF(OR(W450=1,W450=0),"0",(Q450-N450))</f>
        <v>0</v>
      </c>
      <c r="AA450" s="53" t="s">
        <v>1332</v>
      </c>
      <c r="AB450" s="16" t="s">
        <v>1334</v>
      </c>
      <c r="AC450" s="16">
        <v>120.78</v>
      </c>
      <c r="AD450" s="16">
        <v>804.22</v>
      </c>
      <c r="AE450" s="16">
        <f>ROUND(AC450*100,0)</f>
        <v>12078</v>
      </c>
      <c r="AF450" s="16">
        <f>ROUND(AD450*100,0)</f>
        <v>80422</v>
      </c>
      <c r="AG450" s="19" t="str">
        <f>IF(AC450=AD450,"TAM",(CONCATENATE(AE450,"/",AF450)))</f>
        <v>12078/80422</v>
      </c>
      <c r="AH450" s="11" t="s">
        <v>50</v>
      </c>
      <c r="AI450" s="21" t="s">
        <v>50</v>
      </c>
      <c r="AJ450" s="21" t="s">
        <v>1333</v>
      </c>
      <c r="AK450" s="54" t="s">
        <v>50</v>
      </c>
      <c r="AL450" s="1" t="s">
        <v>50</v>
      </c>
    </row>
    <row r="451" spans="1:37" ht="12.75" customHeight="1">
      <c r="A451" s="43"/>
      <c r="B451" s="13"/>
      <c r="C451" s="13"/>
      <c r="D451" s="31"/>
      <c r="E451" s="14" t="s">
        <v>50</v>
      </c>
      <c r="F451" s="14"/>
      <c r="G451" s="14"/>
      <c r="H451" s="14"/>
      <c r="I451" s="31"/>
      <c r="J451" s="31"/>
      <c r="K451" s="15"/>
      <c r="L451" s="15"/>
      <c r="M451" s="15"/>
      <c r="N451" s="15"/>
      <c r="O451" s="15"/>
      <c r="P451" s="14"/>
      <c r="Q451" s="14"/>
      <c r="R451" s="14"/>
      <c r="S451" s="14"/>
      <c r="T451" s="14"/>
      <c r="U451" s="14"/>
      <c r="V451" s="14"/>
      <c r="W451" s="14"/>
      <c r="X451" s="14"/>
      <c r="Y451" s="13"/>
      <c r="Z451" s="44"/>
      <c r="AA451" s="43"/>
      <c r="AB451" s="13"/>
      <c r="AC451" s="13"/>
      <c r="AD451" s="13"/>
      <c r="AE451" s="13"/>
      <c r="AF451" s="13"/>
      <c r="AG451" s="13"/>
      <c r="AH451" s="13"/>
      <c r="AI451" s="13"/>
      <c r="AJ451" s="13"/>
      <c r="AK451" s="44"/>
    </row>
    <row r="452" spans="1:38" ht="12.75" customHeight="1">
      <c r="A452" s="41">
        <v>98</v>
      </c>
      <c r="B452" s="10">
        <v>1035</v>
      </c>
      <c r="C452" s="10" t="s">
        <v>1335</v>
      </c>
      <c r="D452" s="16">
        <v>549.18</v>
      </c>
      <c r="E452" s="20" t="s">
        <v>1336</v>
      </c>
      <c r="F452" s="20" t="s">
        <v>1337</v>
      </c>
      <c r="G452" s="12">
        <v>1</v>
      </c>
      <c r="H452" s="12">
        <v>9</v>
      </c>
      <c r="I452" s="16">
        <f>ROUND(G452,0)</f>
        <v>1</v>
      </c>
      <c r="J452" s="16">
        <f>ROUND(H452,0)</f>
        <v>9</v>
      </c>
      <c r="K452" s="18" t="str">
        <f>IF(I452=J452,"TAM",(CONCATENATE(G452,"/",H452)))</f>
        <v>1/9</v>
      </c>
      <c r="L452" s="29">
        <f>549.18*1/9</f>
        <v>61.01999999999999</v>
      </c>
      <c r="M452" s="30">
        <v>0</v>
      </c>
      <c r="N452" s="16" t="str">
        <f>IF(M452=0,"0",(O452*M452))</f>
        <v>0</v>
      </c>
      <c r="O452" s="16">
        <f>IF(W452=1,L452,((D452*G452/H452)-P452)/(1-V452)-S452-T452)</f>
        <v>14.559999999999995</v>
      </c>
      <c r="P452" s="16">
        <v>46.46</v>
      </c>
      <c r="Q452" s="16">
        <f>IF(U452=0,"0",O452*U452)</f>
        <v>4.8739954057629</v>
      </c>
      <c r="R452" s="17">
        <f>IF(U452=0,(((D452*G452/H452)-P452-S452-T452)/(1-V452)),(((D452*G452/H452)-P452-S452-T452)/(1-V452))-((D452*G452/H452)-P452-S452-T452)*U452/(1-V452))</f>
        <v>9.686004594237096</v>
      </c>
      <c r="S452" s="12">
        <v>0</v>
      </c>
      <c r="T452" s="12">
        <v>0</v>
      </c>
      <c r="U452" s="12">
        <v>0.334752431714485</v>
      </c>
      <c r="V452" s="12">
        <v>0</v>
      </c>
      <c r="W452" s="28">
        <f>IF(V452&gt;U452,1,V452)</f>
        <v>0</v>
      </c>
      <c r="X452" s="12">
        <v>1</v>
      </c>
      <c r="Y452" s="16">
        <v>0</v>
      </c>
      <c r="Z452" s="42" t="str">
        <f>IF(OR(W452=1,W452=0),"0",(Q452-N452))</f>
        <v>0</v>
      </c>
      <c r="AA452" s="53" t="s">
        <v>1338</v>
      </c>
      <c r="AB452" s="16" t="s">
        <v>1339</v>
      </c>
      <c r="AC452" s="16">
        <v>9.69</v>
      </c>
      <c r="AD452" s="16">
        <v>636.63</v>
      </c>
      <c r="AE452" s="16">
        <f>ROUND(AC452*100,0)</f>
        <v>969</v>
      </c>
      <c r="AF452" s="16">
        <f>ROUND(AD452*100,0)</f>
        <v>63663</v>
      </c>
      <c r="AG452" s="19" t="str">
        <f>IF(AC452=AD452,"TAM",(CONCATENATE(AE452,"/",AF452)))</f>
        <v>969/63663</v>
      </c>
      <c r="AH452" s="11" t="s">
        <v>50</v>
      </c>
      <c r="AI452" s="21" t="s">
        <v>50</v>
      </c>
      <c r="AJ452" s="71" t="s">
        <v>2432</v>
      </c>
      <c r="AK452" s="54" t="s">
        <v>50</v>
      </c>
      <c r="AL452" s="1" t="s">
        <v>50</v>
      </c>
    </row>
    <row r="453" spans="1:37" ht="12.75" customHeight="1">
      <c r="A453" s="43"/>
      <c r="B453" s="13"/>
      <c r="C453" s="13"/>
      <c r="D453" s="31"/>
      <c r="E453" s="14" t="s">
        <v>50</v>
      </c>
      <c r="F453" s="14"/>
      <c r="G453" s="14"/>
      <c r="H453" s="14"/>
      <c r="I453" s="31"/>
      <c r="J453" s="31"/>
      <c r="K453" s="15"/>
      <c r="L453" s="15"/>
      <c r="M453" s="15"/>
      <c r="N453" s="15"/>
      <c r="O453" s="15"/>
      <c r="P453" s="14"/>
      <c r="Q453" s="14"/>
      <c r="R453" s="14"/>
      <c r="S453" s="14"/>
      <c r="T453" s="14"/>
      <c r="U453" s="14"/>
      <c r="V453" s="14"/>
      <c r="W453" s="14"/>
      <c r="X453" s="14"/>
      <c r="Y453" s="13"/>
      <c r="Z453" s="44"/>
      <c r="AA453" s="43"/>
      <c r="AB453" s="13"/>
      <c r="AC453" s="13"/>
      <c r="AD453" s="13"/>
      <c r="AE453" s="13"/>
      <c r="AF453" s="13"/>
      <c r="AG453" s="13"/>
      <c r="AH453" s="13"/>
      <c r="AI453" s="13"/>
      <c r="AJ453" s="72"/>
      <c r="AK453" s="44"/>
    </row>
    <row r="454" spans="1:38" ht="12.75" customHeight="1">
      <c r="A454" s="41">
        <v>96</v>
      </c>
      <c r="B454" s="10">
        <v>1035</v>
      </c>
      <c r="C454" s="10" t="s">
        <v>1340</v>
      </c>
      <c r="D454" s="16">
        <v>549.18</v>
      </c>
      <c r="E454" s="20" t="s">
        <v>1341</v>
      </c>
      <c r="F454" s="20" t="s">
        <v>1342</v>
      </c>
      <c r="G454" s="12">
        <v>12</v>
      </c>
      <c r="H454" s="12">
        <v>192</v>
      </c>
      <c r="I454" s="16">
        <f>ROUND(G454,0)</f>
        <v>12</v>
      </c>
      <c r="J454" s="16">
        <f>ROUND(H454,0)</f>
        <v>192</v>
      </c>
      <c r="K454" s="18" t="str">
        <f>IF(I454=J454,"TAM",(CONCATENATE(G454,"/",H454)))</f>
        <v>12/192</v>
      </c>
      <c r="L454" s="29">
        <f>549.18*12/192</f>
        <v>34.32375</v>
      </c>
      <c r="M454" s="30">
        <v>0</v>
      </c>
      <c r="N454" s="16" t="str">
        <f>IF(M454=0,"0",(O454*M454))</f>
        <v>0</v>
      </c>
      <c r="O454" s="16">
        <f>IF(W454=1,L454,((D454*G454/H454)-P454)/(1-V454)-S454-T454)</f>
        <v>8.183749999999996</v>
      </c>
      <c r="P454" s="16">
        <v>26.14</v>
      </c>
      <c r="Q454" s="16">
        <f>IF(U454=0,"0",O454*U454)</f>
        <v>2.739530213043415</v>
      </c>
      <c r="R454" s="17">
        <f>IF(U454=0,(((D454*G454/H454)-P454-S454-T454)/(1-V454)),(((D454*G454/H454)-P454-S454-T454)/(1-V454))-((D454*G454/H454)-P454-S454-T454)*U454/(1-V454))</f>
        <v>5.444219786956581</v>
      </c>
      <c r="S454" s="12">
        <v>0</v>
      </c>
      <c r="T454" s="12">
        <v>0</v>
      </c>
      <c r="U454" s="12">
        <v>0.334752431714485</v>
      </c>
      <c r="V454" s="12">
        <v>0</v>
      </c>
      <c r="W454" s="28">
        <f>IF(V454&gt;U454,1,V454)</f>
        <v>0</v>
      </c>
      <c r="X454" s="12">
        <v>1</v>
      </c>
      <c r="Y454" s="16">
        <v>0</v>
      </c>
      <c r="Z454" s="42" t="str">
        <f>IF(OR(W454=1,W454=0),"0",(Q454-N454))</f>
        <v>0</v>
      </c>
      <c r="AA454" s="53" t="s">
        <v>1343</v>
      </c>
      <c r="AB454" s="16" t="s">
        <v>1344</v>
      </c>
      <c r="AC454" s="16">
        <v>5.44</v>
      </c>
      <c r="AD454" s="16">
        <v>636.63</v>
      </c>
      <c r="AE454" s="16">
        <f>ROUND(AC454*100,0)</f>
        <v>544</v>
      </c>
      <c r="AF454" s="16">
        <f>ROUND(AD454*100,0)</f>
        <v>63663</v>
      </c>
      <c r="AG454" s="19" t="str">
        <f>IF(AC454=AD454,"TAM",(CONCATENATE(AE454,"/",AF454)))</f>
        <v>544/63663</v>
      </c>
      <c r="AH454" s="11" t="s">
        <v>50</v>
      </c>
      <c r="AI454" s="21" t="s">
        <v>50</v>
      </c>
      <c r="AJ454" s="71" t="s">
        <v>2432</v>
      </c>
      <c r="AK454" s="54" t="s">
        <v>50</v>
      </c>
      <c r="AL454" s="1" t="s">
        <v>50</v>
      </c>
    </row>
    <row r="455" spans="1:37" ht="12.75" customHeight="1">
      <c r="A455" s="43"/>
      <c r="B455" s="13"/>
      <c r="C455" s="13"/>
      <c r="D455" s="31"/>
      <c r="E455" s="14" t="s">
        <v>50</v>
      </c>
      <c r="F455" s="14"/>
      <c r="G455" s="14"/>
      <c r="H455" s="14"/>
      <c r="I455" s="31"/>
      <c r="J455" s="31"/>
      <c r="K455" s="15"/>
      <c r="L455" s="15"/>
      <c r="M455" s="15"/>
      <c r="N455" s="15"/>
      <c r="O455" s="15"/>
      <c r="P455" s="14"/>
      <c r="Q455" s="14"/>
      <c r="R455" s="14"/>
      <c r="S455" s="14"/>
      <c r="T455" s="14"/>
      <c r="U455" s="14"/>
      <c r="V455" s="14"/>
      <c r="W455" s="14"/>
      <c r="X455" s="14"/>
      <c r="Y455" s="13"/>
      <c r="Z455" s="44"/>
      <c r="AA455" s="43"/>
      <c r="AB455" s="13"/>
      <c r="AC455" s="13"/>
      <c r="AD455" s="13"/>
      <c r="AE455" s="13"/>
      <c r="AF455" s="13"/>
      <c r="AG455" s="13"/>
      <c r="AH455" s="13"/>
      <c r="AI455" s="13"/>
      <c r="AJ455" s="72"/>
      <c r="AK455" s="44"/>
    </row>
    <row r="456" spans="1:38" ht="12.75" customHeight="1">
      <c r="A456" s="41">
        <v>94</v>
      </c>
      <c r="B456" s="10">
        <v>1035</v>
      </c>
      <c r="C456" s="10" t="s">
        <v>1345</v>
      </c>
      <c r="D456" s="16">
        <v>549.18</v>
      </c>
      <c r="E456" s="20" t="s">
        <v>1346</v>
      </c>
      <c r="F456" s="20" t="s">
        <v>1347</v>
      </c>
      <c r="G456" s="12">
        <v>12</v>
      </c>
      <c r="H456" s="12">
        <v>192</v>
      </c>
      <c r="I456" s="16">
        <f>ROUND(G456,0)</f>
        <v>12</v>
      </c>
      <c r="J456" s="16">
        <f>ROUND(H456,0)</f>
        <v>192</v>
      </c>
      <c r="K456" s="18" t="str">
        <f>IF(I456=J456,"TAM",(CONCATENATE(G456,"/",H456)))</f>
        <v>12/192</v>
      </c>
      <c r="L456" s="29">
        <f>549.18*12/192</f>
        <v>34.32375</v>
      </c>
      <c r="M456" s="30">
        <v>0</v>
      </c>
      <c r="N456" s="16" t="str">
        <f>IF(M456=0,"0",(O456*M456))</f>
        <v>0</v>
      </c>
      <c r="O456" s="16">
        <f>IF(W456=1,L456,((D456*G456/H456)-P456)/(1-V456)-S456-T456)</f>
        <v>8.183749999999996</v>
      </c>
      <c r="P456" s="16">
        <v>26.14</v>
      </c>
      <c r="Q456" s="16">
        <f>IF(U456=0,"0",O456*U456)</f>
        <v>2.739530213043415</v>
      </c>
      <c r="R456" s="17">
        <f>IF(U456=0,(((D456*G456/H456)-P456-S456-T456)/(1-V456)),(((D456*G456/H456)-P456-S456-T456)/(1-V456))-((D456*G456/H456)-P456-S456-T456)*U456/(1-V456))</f>
        <v>5.444219786956581</v>
      </c>
      <c r="S456" s="12">
        <v>0</v>
      </c>
      <c r="T456" s="12">
        <v>0</v>
      </c>
      <c r="U456" s="12">
        <v>0.334752431714485</v>
      </c>
      <c r="V456" s="12">
        <v>0</v>
      </c>
      <c r="W456" s="28">
        <f>IF(V456&gt;U456,1,V456)</f>
        <v>0</v>
      </c>
      <c r="X456" s="12">
        <v>1</v>
      </c>
      <c r="Y456" s="16">
        <v>0</v>
      </c>
      <c r="Z456" s="42" t="str">
        <f>IF(OR(W456=1,W456=0),"0",(Q456-N456))</f>
        <v>0</v>
      </c>
      <c r="AA456" s="53" t="s">
        <v>1348</v>
      </c>
      <c r="AB456" s="16" t="s">
        <v>1349</v>
      </c>
      <c r="AC456" s="16">
        <v>5.44</v>
      </c>
      <c r="AD456" s="16">
        <v>636.63</v>
      </c>
      <c r="AE456" s="16">
        <f>ROUND(AC456*100,0)</f>
        <v>544</v>
      </c>
      <c r="AF456" s="16">
        <f>ROUND(AD456*100,0)</f>
        <v>63663</v>
      </c>
      <c r="AG456" s="19" t="str">
        <f>IF(AC456=AD456,"TAM",(CONCATENATE(AE456,"/",AF456)))</f>
        <v>544/63663</v>
      </c>
      <c r="AH456" s="11" t="s">
        <v>50</v>
      </c>
      <c r="AI456" s="21" t="s">
        <v>50</v>
      </c>
      <c r="AJ456" s="71" t="s">
        <v>2432</v>
      </c>
      <c r="AK456" s="54" t="s">
        <v>50</v>
      </c>
      <c r="AL456" s="1" t="s">
        <v>50</v>
      </c>
    </row>
    <row r="457" spans="1:37" ht="12.75" customHeight="1">
      <c r="A457" s="43"/>
      <c r="B457" s="13"/>
      <c r="C457" s="13"/>
      <c r="D457" s="31"/>
      <c r="E457" s="14" t="s">
        <v>50</v>
      </c>
      <c r="F457" s="14"/>
      <c r="G457" s="14"/>
      <c r="H457" s="14"/>
      <c r="I457" s="31"/>
      <c r="J457" s="31"/>
      <c r="K457" s="15"/>
      <c r="L457" s="15"/>
      <c r="M457" s="15"/>
      <c r="N457" s="15"/>
      <c r="O457" s="15"/>
      <c r="P457" s="14"/>
      <c r="Q457" s="14"/>
      <c r="R457" s="14"/>
      <c r="S457" s="14"/>
      <c r="T457" s="14"/>
      <c r="U457" s="14"/>
      <c r="V457" s="14"/>
      <c r="W457" s="14"/>
      <c r="X457" s="14"/>
      <c r="Y457" s="13"/>
      <c r="Z457" s="44"/>
      <c r="AA457" s="43"/>
      <c r="AB457" s="13"/>
      <c r="AC457" s="13"/>
      <c r="AD457" s="13"/>
      <c r="AE457" s="13"/>
      <c r="AF457" s="13"/>
      <c r="AG457" s="13"/>
      <c r="AH457" s="13"/>
      <c r="AI457" s="13"/>
      <c r="AJ457" s="72"/>
      <c r="AK457" s="44"/>
    </row>
    <row r="458" spans="1:38" ht="12.75" customHeight="1">
      <c r="A458" s="41">
        <v>92</v>
      </c>
      <c r="B458" s="10">
        <v>1035</v>
      </c>
      <c r="C458" s="10" t="s">
        <v>1350</v>
      </c>
      <c r="D458" s="16">
        <v>549.18</v>
      </c>
      <c r="E458" s="20" t="s">
        <v>1351</v>
      </c>
      <c r="F458" s="20" t="s">
        <v>1352</v>
      </c>
      <c r="G458" s="12">
        <v>64</v>
      </c>
      <c r="H458" s="12">
        <v>192</v>
      </c>
      <c r="I458" s="16">
        <f>ROUND(G458,0)</f>
        <v>64</v>
      </c>
      <c r="J458" s="16">
        <f>ROUND(H458,0)</f>
        <v>192</v>
      </c>
      <c r="K458" s="18" t="str">
        <f>IF(I458=J458,"TAM",(CONCATENATE(G458,"/",H458)))</f>
        <v>64/192</v>
      </c>
      <c r="L458" s="29">
        <f>549.18*64/192</f>
        <v>183.05999999999997</v>
      </c>
      <c r="M458" s="30">
        <v>0</v>
      </c>
      <c r="N458" s="16" t="str">
        <f>IF(M458=0,"0",(O458*M458))</f>
        <v>0</v>
      </c>
      <c r="O458" s="16">
        <f>IF(W458=1,L458,((D458*G458/H458)-P458)/(1-V458)-S458-T458)</f>
        <v>43.65999999999997</v>
      </c>
      <c r="P458" s="16">
        <v>139.4</v>
      </c>
      <c r="Q458" s="16">
        <f>IF(U458=0,"0",O458*U458)</f>
        <v>14.615291168654403</v>
      </c>
      <c r="R458" s="17">
        <f>IF(U458=0,(((D458*G458/H458)-P458-S458-T458)/(1-V458)),(((D458*G458/H458)-P458-S458-T458)/(1-V458))-((D458*G458/H458)-P458-S458-T458)*U458/(1-V458))</f>
        <v>29.044708831345567</v>
      </c>
      <c r="S458" s="12">
        <v>0</v>
      </c>
      <c r="T458" s="12">
        <v>0</v>
      </c>
      <c r="U458" s="12">
        <v>0.334752431714485</v>
      </c>
      <c r="V458" s="12">
        <v>0</v>
      </c>
      <c r="W458" s="28">
        <f>IF(V458&gt;U458,1,V458)</f>
        <v>0</v>
      </c>
      <c r="X458" s="12">
        <v>1</v>
      </c>
      <c r="Y458" s="16">
        <v>0</v>
      </c>
      <c r="Z458" s="42" t="str">
        <f>IF(OR(W458=1,W458=0),"0",(Q458-N458))</f>
        <v>0</v>
      </c>
      <c r="AA458" s="53" t="s">
        <v>1353</v>
      </c>
      <c r="AB458" s="16" t="s">
        <v>1354</v>
      </c>
      <c r="AC458" s="16">
        <v>29.05</v>
      </c>
      <c r="AD458" s="16">
        <v>636.63</v>
      </c>
      <c r="AE458" s="16">
        <f>ROUND(AC458*100,0)</f>
        <v>2905</v>
      </c>
      <c r="AF458" s="16">
        <f>ROUND(AD458*100,0)</f>
        <v>63663</v>
      </c>
      <c r="AG458" s="19" t="str">
        <f>IF(AC458=AD458,"TAM",(CONCATENATE(AE458,"/",AF458)))</f>
        <v>2905/63663</v>
      </c>
      <c r="AH458" s="11" t="s">
        <v>50</v>
      </c>
      <c r="AI458" s="21" t="s">
        <v>50</v>
      </c>
      <c r="AJ458" s="71" t="s">
        <v>2432</v>
      </c>
      <c r="AK458" s="54" t="s">
        <v>50</v>
      </c>
      <c r="AL458" s="1" t="s">
        <v>50</v>
      </c>
    </row>
    <row r="459" spans="1:37" ht="12.75" customHeight="1">
      <c r="A459" s="43"/>
      <c r="B459" s="13"/>
      <c r="C459" s="13"/>
      <c r="D459" s="31"/>
      <c r="E459" s="14" t="s">
        <v>50</v>
      </c>
      <c r="F459" s="14"/>
      <c r="G459" s="14"/>
      <c r="H459" s="14"/>
      <c r="I459" s="31"/>
      <c r="J459" s="31"/>
      <c r="K459" s="15"/>
      <c r="L459" s="15"/>
      <c r="M459" s="15"/>
      <c r="N459" s="15"/>
      <c r="O459" s="15"/>
      <c r="P459" s="14"/>
      <c r="Q459" s="14"/>
      <c r="R459" s="14"/>
      <c r="S459" s="14"/>
      <c r="T459" s="14"/>
      <c r="U459" s="14"/>
      <c r="V459" s="14"/>
      <c r="W459" s="14"/>
      <c r="X459" s="14"/>
      <c r="Y459" s="13"/>
      <c r="Z459" s="44"/>
      <c r="AA459" s="43"/>
      <c r="AB459" s="13"/>
      <c r="AC459" s="13"/>
      <c r="AD459" s="13"/>
      <c r="AE459" s="13"/>
      <c r="AF459" s="13"/>
      <c r="AG459" s="13"/>
      <c r="AH459" s="13"/>
      <c r="AI459" s="13"/>
      <c r="AJ459" s="72"/>
      <c r="AK459" s="44"/>
    </row>
    <row r="460" spans="1:38" ht="12.75" customHeight="1">
      <c r="A460" s="41">
        <v>99</v>
      </c>
      <c r="B460" s="10">
        <v>1035</v>
      </c>
      <c r="C460" s="10" t="s">
        <v>1355</v>
      </c>
      <c r="D460" s="16">
        <v>549.18</v>
      </c>
      <c r="E460" s="20" t="s">
        <v>1356</v>
      </c>
      <c r="F460" s="20" t="s">
        <v>1357</v>
      </c>
      <c r="G460" s="12">
        <v>1</v>
      </c>
      <c r="H460" s="12">
        <v>9</v>
      </c>
      <c r="I460" s="16">
        <f>ROUND(G460,0)</f>
        <v>1</v>
      </c>
      <c r="J460" s="16">
        <f>ROUND(H460,0)</f>
        <v>9</v>
      </c>
      <c r="K460" s="18" t="str">
        <f>IF(I460=J460,"TAM",(CONCATENATE(G460,"/",H460)))</f>
        <v>1/9</v>
      </c>
      <c r="L460" s="29">
        <f>549.18*1/9</f>
        <v>61.01999999999999</v>
      </c>
      <c r="M460" s="30">
        <v>0</v>
      </c>
      <c r="N460" s="16" t="str">
        <f>IF(M460=0,"0",(O460*M460))</f>
        <v>0</v>
      </c>
      <c r="O460" s="16">
        <f>IF(W460=1,L460,((D460*G460/H460)-P460)/(1-V460)-S460-T460)</f>
        <v>14.549999999999997</v>
      </c>
      <c r="P460" s="16">
        <v>46.47</v>
      </c>
      <c r="Q460" s="16">
        <f>IF(U460=0,"0",O460*U460)</f>
        <v>4.8706478814457554</v>
      </c>
      <c r="R460" s="17">
        <f>IF(U460=0,(((D460*G460/H460)-P460-S460-T460)/(1-V460)),(((D460*G460/H460)-P460-S460-T460)/(1-V460))-((D460*G460/H460)-P460-S460-T460)*U460/(1-V460))</f>
        <v>9.679352118554242</v>
      </c>
      <c r="S460" s="12">
        <v>0</v>
      </c>
      <c r="T460" s="12">
        <v>0</v>
      </c>
      <c r="U460" s="12">
        <v>0.334752431714485</v>
      </c>
      <c r="V460" s="12">
        <v>0</v>
      </c>
      <c r="W460" s="28">
        <f>IF(V460&gt;U460,1,V460)</f>
        <v>0</v>
      </c>
      <c r="X460" s="12">
        <v>1</v>
      </c>
      <c r="Y460" s="16">
        <v>0</v>
      </c>
      <c r="Z460" s="42" t="str">
        <f>IF(OR(W460=1,W460=0),"0",(Q460-N460))</f>
        <v>0</v>
      </c>
      <c r="AA460" s="53" t="s">
        <v>1358</v>
      </c>
      <c r="AB460" s="16" t="s">
        <v>1359</v>
      </c>
      <c r="AC460" s="16">
        <v>9.68</v>
      </c>
      <c r="AD460" s="16">
        <v>636.63</v>
      </c>
      <c r="AE460" s="16">
        <f>ROUND(AC460*100,0)</f>
        <v>968</v>
      </c>
      <c r="AF460" s="16">
        <f>ROUND(AD460*100,0)</f>
        <v>63663</v>
      </c>
      <c r="AG460" s="19" t="str">
        <f>IF(AC460=AD460,"TAM",(CONCATENATE(AE460,"/",AF460)))</f>
        <v>968/63663</v>
      </c>
      <c r="AH460" s="11" t="s">
        <v>50</v>
      </c>
      <c r="AI460" s="21" t="s">
        <v>50</v>
      </c>
      <c r="AJ460" s="71" t="s">
        <v>2432</v>
      </c>
      <c r="AK460" s="54" t="s">
        <v>50</v>
      </c>
      <c r="AL460" s="1" t="s">
        <v>50</v>
      </c>
    </row>
    <row r="461" spans="1:37" ht="12.75" customHeight="1">
      <c r="A461" s="43"/>
      <c r="B461" s="13"/>
      <c r="C461" s="13"/>
      <c r="D461" s="31"/>
      <c r="E461" s="14" t="s">
        <v>50</v>
      </c>
      <c r="F461" s="14"/>
      <c r="G461" s="14"/>
      <c r="H461" s="14"/>
      <c r="I461" s="31"/>
      <c r="J461" s="31"/>
      <c r="K461" s="15"/>
      <c r="L461" s="15"/>
      <c r="M461" s="15"/>
      <c r="N461" s="15"/>
      <c r="O461" s="15"/>
      <c r="P461" s="14"/>
      <c r="Q461" s="14"/>
      <c r="R461" s="14"/>
      <c r="S461" s="14"/>
      <c r="T461" s="14"/>
      <c r="U461" s="14"/>
      <c r="V461" s="14"/>
      <c r="W461" s="14"/>
      <c r="X461" s="14"/>
      <c r="Y461" s="13"/>
      <c r="Z461" s="44"/>
      <c r="AA461" s="43"/>
      <c r="AB461" s="13"/>
      <c r="AC461" s="13"/>
      <c r="AD461" s="13"/>
      <c r="AE461" s="13"/>
      <c r="AF461" s="13"/>
      <c r="AG461" s="13"/>
      <c r="AH461" s="13"/>
      <c r="AI461" s="13"/>
      <c r="AJ461" s="72"/>
      <c r="AK461" s="44"/>
    </row>
    <row r="462" spans="1:38" ht="12.75" customHeight="1">
      <c r="A462" s="41">
        <v>97</v>
      </c>
      <c r="B462" s="10">
        <v>1035</v>
      </c>
      <c r="C462" s="10" t="s">
        <v>1360</v>
      </c>
      <c r="D462" s="16">
        <v>549.18</v>
      </c>
      <c r="E462" s="20" t="s">
        <v>1361</v>
      </c>
      <c r="F462" s="20" t="s">
        <v>1362</v>
      </c>
      <c r="G462" s="12">
        <v>1</v>
      </c>
      <c r="H462" s="12">
        <v>9</v>
      </c>
      <c r="I462" s="16">
        <f>ROUND(G462,0)</f>
        <v>1</v>
      </c>
      <c r="J462" s="16">
        <f>ROUND(H462,0)</f>
        <v>9</v>
      </c>
      <c r="K462" s="18" t="str">
        <f>IF(I462=J462,"TAM",(CONCATENATE(G462,"/",H462)))</f>
        <v>1/9</v>
      </c>
      <c r="L462" s="29">
        <f>549.18*1/9</f>
        <v>61.01999999999999</v>
      </c>
      <c r="M462" s="30">
        <v>0</v>
      </c>
      <c r="N462" s="16" t="str">
        <f>IF(M462=0,"0",(O462*M462))</f>
        <v>0</v>
      </c>
      <c r="O462" s="16">
        <f>IF(W462=1,L462,((D462*G462/H462)-P462)/(1-V462)-S462-T462)</f>
        <v>14.549999999999997</v>
      </c>
      <c r="P462" s="16">
        <v>46.47</v>
      </c>
      <c r="Q462" s="16">
        <f>IF(U462=0,"0",O462*U462)</f>
        <v>4.8706478814457554</v>
      </c>
      <c r="R462" s="17">
        <f>IF(U462=0,(((D462*G462/H462)-P462-S462-T462)/(1-V462)),(((D462*G462/H462)-P462-S462-T462)/(1-V462))-((D462*G462/H462)-P462-S462-T462)*U462/(1-V462))</f>
        <v>9.679352118554242</v>
      </c>
      <c r="S462" s="12">
        <v>0</v>
      </c>
      <c r="T462" s="12">
        <v>0</v>
      </c>
      <c r="U462" s="12">
        <v>0.334752431714485</v>
      </c>
      <c r="V462" s="12">
        <v>0</v>
      </c>
      <c r="W462" s="28">
        <f>IF(V462&gt;U462,1,V462)</f>
        <v>0</v>
      </c>
      <c r="X462" s="12">
        <v>1</v>
      </c>
      <c r="Y462" s="16">
        <v>0</v>
      </c>
      <c r="Z462" s="42" t="str">
        <f>IF(OR(W462=1,W462=0),"0",(Q462-N462))</f>
        <v>0</v>
      </c>
      <c r="AA462" s="53" t="s">
        <v>1363</v>
      </c>
      <c r="AB462" s="16" t="s">
        <v>1364</v>
      </c>
      <c r="AC462" s="16">
        <v>9.68</v>
      </c>
      <c r="AD462" s="16">
        <v>636.63</v>
      </c>
      <c r="AE462" s="16">
        <f>ROUND(AC462*100,0)</f>
        <v>968</v>
      </c>
      <c r="AF462" s="16">
        <f>ROUND(AD462*100,0)</f>
        <v>63663</v>
      </c>
      <c r="AG462" s="19" t="str">
        <f>IF(AC462=AD462,"TAM",(CONCATENATE(AE462,"/",AF462)))</f>
        <v>968/63663</v>
      </c>
      <c r="AH462" s="11" t="s">
        <v>50</v>
      </c>
      <c r="AI462" s="21" t="s">
        <v>50</v>
      </c>
      <c r="AJ462" s="71" t="s">
        <v>2432</v>
      </c>
      <c r="AK462" s="54" t="s">
        <v>50</v>
      </c>
      <c r="AL462" s="1" t="s">
        <v>50</v>
      </c>
    </row>
    <row r="463" spans="1:37" ht="12.75" customHeight="1">
      <c r="A463" s="43"/>
      <c r="B463" s="13"/>
      <c r="C463" s="13"/>
      <c r="D463" s="31"/>
      <c r="E463" s="14" t="s">
        <v>50</v>
      </c>
      <c r="F463" s="14"/>
      <c r="G463" s="14"/>
      <c r="H463" s="14"/>
      <c r="I463" s="31"/>
      <c r="J463" s="31"/>
      <c r="K463" s="15"/>
      <c r="L463" s="15"/>
      <c r="M463" s="15"/>
      <c r="N463" s="15"/>
      <c r="O463" s="15"/>
      <c r="P463" s="14"/>
      <c r="Q463" s="14"/>
      <c r="R463" s="14"/>
      <c r="S463" s="14"/>
      <c r="T463" s="14"/>
      <c r="U463" s="14"/>
      <c r="V463" s="14"/>
      <c r="W463" s="14"/>
      <c r="X463" s="14"/>
      <c r="Y463" s="13"/>
      <c r="Z463" s="44"/>
      <c r="AA463" s="43"/>
      <c r="AB463" s="13"/>
      <c r="AC463" s="13"/>
      <c r="AD463" s="13"/>
      <c r="AE463" s="13"/>
      <c r="AF463" s="13"/>
      <c r="AG463" s="13"/>
      <c r="AH463" s="13"/>
      <c r="AI463" s="13"/>
      <c r="AJ463" s="72"/>
      <c r="AK463" s="44"/>
    </row>
    <row r="464" spans="1:38" ht="12.75" customHeight="1">
      <c r="A464" s="41">
        <v>93</v>
      </c>
      <c r="B464" s="10">
        <v>1035</v>
      </c>
      <c r="C464" s="10" t="s">
        <v>1365</v>
      </c>
      <c r="D464" s="16">
        <v>549.18</v>
      </c>
      <c r="E464" s="20" t="s">
        <v>1366</v>
      </c>
      <c r="F464" s="20" t="s">
        <v>1367</v>
      </c>
      <c r="G464" s="12">
        <v>12</v>
      </c>
      <c r="H464" s="12">
        <v>192</v>
      </c>
      <c r="I464" s="16">
        <f>ROUND(G464,0)</f>
        <v>12</v>
      </c>
      <c r="J464" s="16">
        <f>ROUND(H464,0)</f>
        <v>192</v>
      </c>
      <c r="K464" s="18" t="str">
        <f>IF(I464=J464,"TAM",(CONCATENATE(G464,"/",H464)))</f>
        <v>12/192</v>
      </c>
      <c r="L464" s="29">
        <f>549.18*12/192</f>
        <v>34.32375</v>
      </c>
      <c r="M464" s="30">
        <v>0</v>
      </c>
      <c r="N464" s="16" t="str">
        <f>IF(M464=0,"0",(O464*M464))</f>
        <v>0</v>
      </c>
      <c r="O464" s="16">
        <f>IF(W464=1,L464,((D464*G464/H464)-P464)/(1-V464)-S464-T464)</f>
        <v>8.193749999999998</v>
      </c>
      <c r="P464" s="16">
        <v>26.13</v>
      </c>
      <c r="Q464" s="16">
        <f>IF(U464=0,"0",O464*U464)</f>
        <v>2.7428777373605606</v>
      </c>
      <c r="R464" s="17">
        <f>IF(U464=0,(((D464*G464/H464)-P464-S464-T464)/(1-V464)),(((D464*G464/H464)-P464-S464-T464)/(1-V464))-((D464*G464/H464)-P464-S464-T464)*U464/(1-V464))</f>
        <v>5.450872262639438</v>
      </c>
      <c r="S464" s="12">
        <v>0</v>
      </c>
      <c r="T464" s="12">
        <v>0</v>
      </c>
      <c r="U464" s="12">
        <v>0.334752431714485</v>
      </c>
      <c r="V464" s="12">
        <v>0</v>
      </c>
      <c r="W464" s="28">
        <f>IF(V464&gt;U464,1,V464)</f>
        <v>0</v>
      </c>
      <c r="X464" s="12">
        <v>1</v>
      </c>
      <c r="Y464" s="16">
        <v>0</v>
      </c>
      <c r="Z464" s="42" t="str">
        <f>IF(OR(W464=1,W464=0),"0",(Q464-N464))</f>
        <v>0</v>
      </c>
      <c r="AA464" s="53" t="s">
        <v>1368</v>
      </c>
      <c r="AB464" s="16" t="s">
        <v>1369</v>
      </c>
      <c r="AC464" s="16">
        <v>5.45</v>
      </c>
      <c r="AD464" s="16">
        <v>636.63</v>
      </c>
      <c r="AE464" s="16">
        <f>ROUND(AC464*100,0)</f>
        <v>545</v>
      </c>
      <c r="AF464" s="16">
        <f>ROUND(AD464*100,0)</f>
        <v>63663</v>
      </c>
      <c r="AG464" s="19" t="str">
        <f>IF(AC464=AD464,"TAM",(CONCATENATE(AE464,"/",AF464)))</f>
        <v>545/63663</v>
      </c>
      <c r="AH464" s="11" t="s">
        <v>50</v>
      </c>
      <c r="AI464" s="21" t="s">
        <v>50</v>
      </c>
      <c r="AJ464" s="71" t="s">
        <v>2432</v>
      </c>
      <c r="AK464" s="54" t="s">
        <v>50</v>
      </c>
      <c r="AL464" s="1" t="s">
        <v>50</v>
      </c>
    </row>
    <row r="465" spans="1:37" ht="12.75" customHeight="1">
      <c r="A465" s="43"/>
      <c r="B465" s="13"/>
      <c r="C465" s="13"/>
      <c r="D465" s="31"/>
      <c r="E465" s="14" t="s">
        <v>50</v>
      </c>
      <c r="F465" s="14"/>
      <c r="G465" s="14"/>
      <c r="H465" s="14"/>
      <c r="I465" s="31"/>
      <c r="J465" s="31"/>
      <c r="K465" s="15"/>
      <c r="L465" s="15"/>
      <c r="M465" s="15"/>
      <c r="N465" s="15"/>
      <c r="O465" s="15"/>
      <c r="P465" s="14"/>
      <c r="Q465" s="14"/>
      <c r="R465" s="14"/>
      <c r="S465" s="14"/>
      <c r="T465" s="14"/>
      <c r="U465" s="14"/>
      <c r="V465" s="14"/>
      <c r="W465" s="14"/>
      <c r="X465" s="14"/>
      <c r="Y465" s="13"/>
      <c r="Z465" s="44"/>
      <c r="AA465" s="43"/>
      <c r="AB465" s="13"/>
      <c r="AC465" s="13"/>
      <c r="AD465" s="13"/>
      <c r="AE465" s="13"/>
      <c r="AF465" s="13"/>
      <c r="AG465" s="13"/>
      <c r="AH465" s="13"/>
      <c r="AI465" s="13"/>
      <c r="AJ465" s="72"/>
      <c r="AK465" s="44"/>
    </row>
    <row r="466" spans="1:38" ht="12.75" customHeight="1">
      <c r="A466" s="41">
        <v>100</v>
      </c>
      <c r="B466" s="10">
        <v>1035</v>
      </c>
      <c r="C466" s="10" t="s">
        <v>1370</v>
      </c>
      <c r="D466" s="16">
        <v>549.18</v>
      </c>
      <c r="E466" s="20" t="s">
        <v>1371</v>
      </c>
      <c r="F466" s="20" t="s">
        <v>1372</v>
      </c>
      <c r="G466" s="12">
        <v>1</v>
      </c>
      <c r="H466" s="12">
        <v>12</v>
      </c>
      <c r="I466" s="16">
        <f>ROUND(G466,0)</f>
        <v>1</v>
      </c>
      <c r="J466" s="16">
        <f>ROUND(H466,0)</f>
        <v>12</v>
      </c>
      <c r="K466" s="18" t="str">
        <f>IF(I466=J466,"TAM",(CONCATENATE(G466,"/",H466)))</f>
        <v>1/12</v>
      </c>
      <c r="L466" s="29">
        <f>549.18*1/12</f>
        <v>45.76499999999999</v>
      </c>
      <c r="M466" s="30">
        <v>0</v>
      </c>
      <c r="N466" s="16" t="str">
        <f>IF(M466=0,"0",(O466*M466))</f>
        <v>0</v>
      </c>
      <c r="O466" s="16">
        <f>IF(W466=1,L466,((D466*G466/H466)-P466)/(1-V466)-S466-T466)</f>
        <v>10.914999999999992</v>
      </c>
      <c r="P466" s="16">
        <v>34.85</v>
      </c>
      <c r="Q466" s="16">
        <f>IF(U466=0,"0",O466*U466)</f>
        <v>3.653822792163601</v>
      </c>
      <c r="R466" s="17">
        <f>IF(U466=0,(((D466*G466/H466)-P466-S466-T466)/(1-V466)),(((D466*G466/H466)-P466-S466-T466)/(1-V466))-((D466*G466/H466)-P466-S466-T466)*U466/(1-V466))</f>
        <v>7.261177207836392</v>
      </c>
      <c r="S466" s="12">
        <v>0</v>
      </c>
      <c r="T466" s="12">
        <v>0</v>
      </c>
      <c r="U466" s="12">
        <v>0.334752431714485</v>
      </c>
      <c r="V466" s="12">
        <v>0</v>
      </c>
      <c r="W466" s="28">
        <f>IF(V466&gt;U466,1,V466)</f>
        <v>0</v>
      </c>
      <c r="X466" s="12">
        <v>1</v>
      </c>
      <c r="Y466" s="16">
        <v>0</v>
      </c>
      <c r="Z466" s="42" t="str">
        <f>IF(OR(W466=1,W466=0),"0",(Q466-N466))</f>
        <v>0</v>
      </c>
      <c r="AA466" s="53" t="s">
        <v>1374</v>
      </c>
      <c r="AB466" s="16" t="s">
        <v>1375</v>
      </c>
      <c r="AC466" s="16">
        <v>7.26</v>
      </c>
      <c r="AD466" s="16">
        <v>636.63</v>
      </c>
      <c r="AE466" s="16">
        <f>ROUND(AC466*100,0)</f>
        <v>726</v>
      </c>
      <c r="AF466" s="16">
        <f>ROUND(AD466*100,0)</f>
        <v>63663</v>
      </c>
      <c r="AG466" s="19" t="str">
        <f>IF(AC466=AD466,"TAM",(CONCATENATE(AE466,"/",AF466)))</f>
        <v>726/63663</v>
      </c>
      <c r="AH466" s="11" t="s">
        <v>50</v>
      </c>
      <c r="AI466" s="21" t="s">
        <v>50</v>
      </c>
      <c r="AJ466" s="71" t="s">
        <v>2432</v>
      </c>
      <c r="AK466" s="54" t="s">
        <v>50</v>
      </c>
      <c r="AL466" s="1" t="s">
        <v>50</v>
      </c>
    </row>
    <row r="467" spans="1:37" ht="34.5" customHeight="1">
      <c r="A467" s="43"/>
      <c r="B467" s="13"/>
      <c r="C467" s="13"/>
      <c r="D467" s="31"/>
      <c r="E467" s="34" t="s">
        <v>1373</v>
      </c>
      <c r="F467" s="14"/>
      <c r="G467" s="14"/>
      <c r="H467" s="14"/>
      <c r="I467" s="31"/>
      <c r="J467" s="31"/>
      <c r="K467" s="15"/>
      <c r="L467" s="15"/>
      <c r="M467" s="15"/>
      <c r="N467" s="15"/>
      <c r="O467" s="15"/>
      <c r="P467" s="14"/>
      <c r="Q467" s="14"/>
      <c r="R467" s="14"/>
      <c r="S467" s="14"/>
      <c r="T467" s="14"/>
      <c r="U467" s="14"/>
      <c r="V467" s="14"/>
      <c r="W467" s="14"/>
      <c r="X467" s="14"/>
      <c r="Y467" s="13"/>
      <c r="Z467" s="44"/>
      <c r="AA467" s="43"/>
      <c r="AB467" s="13"/>
      <c r="AC467" s="13"/>
      <c r="AD467" s="13"/>
      <c r="AE467" s="13"/>
      <c r="AF467" s="13"/>
      <c r="AG467" s="13"/>
      <c r="AH467" s="13"/>
      <c r="AI467" s="13"/>
      <c r="AJ467" s="72"/>
      <c r="AK467" s="44"/>
    </row>
    <row r="468" spans="1:38" ht="12.75" customHeight="1">
      <c r="A468" s="41">
        <v>95</v>
      </c>
      <c r="B468" s="10">
        <v>1035</v>
      </c>
      <c r="C468" s="10" t="s">
        <v>1376</v>
      </c>
      <c r="D468" s="16">
        <v>549.18</v>
      </c>
      <c r="E468" s="20" t="s">
        <v>1377</v>
      </c>
      <c r="F468" s="20" t="s">
        <v>1378</v>
      </c>
      <c r="G468" s="12">
        <v>12</v>
      </c>
      <c r="H468" s="12">
        <v>192</v>
      </c>
      <c r="I468" s="16">
        <f>ROUND(G468,0)</f>
        <v>12</v>
      </c>
      <c r="J468" s="16">
        <f>ROUND(H468,0)</f>
        <v>192</v>
      </c>
      <c r="K468" s="18" t="str">
        <f>IF(I468=J468,"TAM",(CONCATENATE(G468,"/",H468)))</f>
        <v>12/192</v>
      </c>
      <c r="L468" s="29">
        <f>549.18*12/192</f>
        <v>34.32375</v>
      </c>
      <c r="M468" s="30">
        <v>0</v>
      </c>
      <c r="N468" s="16" t="str">
        <f>IF(M468=0,"0",(O468*M468))</f>
        <v>0</v>
      </c>
      <c r="O468" s="16">
        <f>IF(W468=1,L468,((D468*G468/H468)-P468)/(1-V468)-S468-T468)</f>
        <v>8.183749999999996</v>
      </c>
      <c r="P468" s="16">
        <v>26.14</v>
      </c>
      <c r="Q468" s="16">
        <f>IF(U468=0,"0",O468*U468)</f>
        <v>2.739530213043415</v>
      </c>
      <c r="R468" s="17">
        <f>IF(U468=0,(((D468*G468/H468)-P468-S468-T468)/(1-V468)),(((D468*G468/H468)-P468-S468-T468)/(1-V468))-((D468*G468/H468)-P468-S468-T468)*U468/(1-V468))</f>
        <v>5.444219786956581</v>
      </c>
      <c r="S468" s="12">
        <v>0</v>
      </c>
      <c r="T468" s="12">
        <v>0</v>
      </c>
      <c r="U468" s="12">
        <v>0.334752431714485</v>
      </c>
      <c r="V468" s="12">
        <v>0</v>
      </c>
      <c r="W468" s="28">
        <f>IF(V468&gt;U468,1,V468)</f>
        <v>0</v>
      </c>
      <c r="X468" s="12">
        <v>1</v>
      </c>
      <c r="Y468" s="16">
        <v>0</v>
      </c>
      <c r="Z468" s="42" t="str">
        <f>IF(OR(W468=1,W468=0),"0",(Q468-N468))</f>
        <v>0</v>
      </c>
      <c r="AA468" s="53" t="s">
        <v>1379</v>
      </c>
      <c r="AB468" s="16" t="s">
        <v>1380</v>
      </c>
      <c r="AC468" s="16">
        <v>5.44</v>
      </c>
      <c r="AD468" s="16">
        <v>636.63</v>
      </c>
      <c r="AE468" s="16">
        <f>ROUND(AC468*100,0)</f>
        <v>544</v>
      </c>
      <c r="AF468" s="16">
        <f>ROUND(AD468*100,0)</f>
        <v>63663</v>
      </c>
      <c r="AG468" s="19" t="str">
        <f>IF(AC468=AD468,"TAM",(CONCATENATE(AE468,"/",AF468)))</f>
        <v>544/63663</v>
      </c>
      <c r="AH468" s="11" t="s">
        <v>50</v>
      </c>
      <c r="AI468" s="21" t="s">
        <v>50</v>
      </c>
      <c r="AJ468" s="71" t="s">
        <v>2432</v>
      </c>
      <c r="AK468" s="54" t="s">
        <v>50</v>
      </c>
      <c r="AL468" s="1" t="s">
        <v>50</v>
      </c>
    </row>
    <row r="469" spans="1:37" ht="12.75" customHeight="1">
      <c r="A469" s="43"/>
      <c r="B469" s="13"/>
      <c r="C469" s="13"/>
      <c r="D469" s="31"/>
      <c r="E469" s="14" t="s">
        <v>50</v>
      </c>
      <c r="F469" s="14"/>
      <c r="G469" s="14"/>
      <c r="H469" s="14"/>
      <c r="I469" s="31"/>
      <c r="J469" s="31"/>
      <c r="K469" s="15"/>
      <c r="L469" s="15"/>
      <c r="M469" s="15"/>
      <c r="N469" s="15"/>
      <c r="O469" s="15"/>
      <c r="P469" s="14"/>
      <c r="Q469" s="14"/>
      <c r="R469" s="14"/>
      <c r="S469" s="14"/>
      <c r="T469" s="14"/>
      <c r="U469" s="14"/>
      <c r="V469" s="14"/>
      <c r="W469" s="14"/>
      <c r="X469" s="14"/>
      <c r="Y469" s="13"/>
      <c r="Z469" s="44"/>
      <c r="AA469" s="43"/>
      <c r="AB469" s="13"/>
      <c r="AC469" s="13"/>
      <c r="AD469" s="13"/>
      <c r="AE469" s="13"/>
      <c r="AF469" s="13"/>
      <c r="AG469" s="13"/>
      <c r="AH469" s="13"/>
      <c r="AI469" s="13"/>
      <c r="AJ469" s="72"/>
      <c r="AK469" s="44"/>
    </row>
    <row r="470" spans="1:38" ht="12.75" customHeight="1">
      <c r="A470" s="41">
        <v>109</v>
      </c>
      <c r="B470" s="10">
        <v>1038</v>
      </c>
      <c r="C470" s="10" t="s">
        <v>1381</v>
      </c>
      <c r="D470" s="16">
        <v>774.17</v>
      </c>
      <c r="E470" s="20" t="s">
        <v>1382</v>
      </c>
      <c r="F470" s="20" t="s">
        <v>1383</v>
      </c>
      <c r="G470" s="12">
        <v>1</v>
      </c>
      <c r="H470" s="12">
        <v>4</v>
      </c>
      <c r="I470" s="16">
        <f>ROUND(G470,0)</f>
        <v>1</v>
      </c>
      <c r="J470" s="16">
        <f>ROUND(H470,0)</f>
        <v>4</v>
      </c>
      <c r="K470" s="18" t="str">
        <f>IF(I470=J470,"TAM",(CONCATENATE(G470,"/",H470)))</f>
        <v>1/4</v>
      </c>
      <c r="L470" s="29">
        <f>774.17*1/4</f>
        <v>193.5425</v>
      </c>
      <c r="M470" s="30">
        <v>0</v>
      </c>
      <c r="N470" s="16" t="str">
        <f>IF(M470=0,"0",(O470*M470))</f>
        <v>0</v>
      </c>
      <c r="O470" s="16">
        <f>IF(W470=1,L470,((D470*G470/H470)-P470)/(1-V470)-S470-T470)</f>
        <v>193.5425</v>
      </c>
      <c r="P470" s="16">
        <v>0</v>
      </c>
      <c r="Q470" s="16">
        <f>IF(U470=0,"0",O470*U470)</f>
        <v>64.7888225151007</v>
      </c>
      <c r="R470" s="17">
        <f>IF(U470=0,(((D470*G470/H470)-P470-S470-T470)/(1-V470)),(((D470*G470/H470)-P470-S470-T470)/(1-V470))-((D470*G470/H470)-P470-S470-T470)*U470/(1-V470))</f>
        <v>128.7536774848993</v>
      </c>
      <c r="S470" s="12">
        <v>0</v>
      </c>
      <c r="T470" s="12">
        <v>0</v>
      </c>
      <c r="U470" s="12">
        <v>0.334752431714485</v>
      </c>
      <c r="V470" s="12">
        <v>0</v>
      </c>
      <c r="W470" s="28">
        <f>IF(V470&gt;U470,1,V470)</f>
        <v>0</v>
      </c>
      <c r="X470" s="12">
        <v>1</v>
      </c>
      <c r="Y470" s="16">
        <v>0</v>
      </c>
      <c r="Z470" s="42" t="str">
        <f>IF(OR(W470=1,W470=0),"0",(Q470-N470))</f>
        <v>0</v>
      </c>
      <c r="AA470" s="53" t="s">
        <v>1385</v>
      </c>
      <c r="AB470" s="16" t="s">
        <v>1386</v>
      </c>
      <c r="AC470" s="16">
        <v>128.75</v>
      </c>
      <c r="AD470" s="16">
        <v>636.63</v>
      </c>
      <c r="AE470" s="16">
        <f>ROUND(AC470*100,0)</f>
        <v>12875</v>
      </c>
      <c r="AF470" s="16">
        <f>ROUND(AD470*100,0)</f>
        <v>63663</v>
      </c>
      <c r="AG470" s="19" t="str">
        <f>IF(AC470=AD470,"TAM",(CONCATENATE(AE470,"/",AF470)))</f>
        <v>12875/63663</v>
      </c>
      <c r="AH470" s="11" t="s">
        <v>50</v>
      </c>
      <c r="AI470" s="21" t="s">
        <v>50</v>
      </c>
      <c r="AJ470" s="71" t="s">
        <v>2432</v>
      </c>
      <c r="AK470" s="54" t="s">
        <v>50</v>
      </c>
      <c r="AL470" s="1" t="s">
        <v>50</v>
      </c>
    </row>
    <row r="471" spans="1:37" ht="31.5" customHeight="1">
      <c r="A471" s="43"/>
      <c r="B471" s="13"/>
      <c r="C471" s="13"/>
      <c r="D471" s="31"/>
      <c r="E471" s="34" t="s">
        <v>1384</v>
      </c>
      <c r="F471" s="14"/>
      <c r="G471" s="14"/>
      <c r="H471" s="14"/>
      <c r="I471" s="31"/>
      <c r="J471" s="31"/>
      <c r="K471" s="15"/>
      <c r="L471" s="15"/>
      <c r="M471" s="15"/>
      <c r="N471" s="15"/>
      <c r="O471" s="15"/>
      <c r="P471" s="14"/>
      <c r="Q471" s="14"/>
      <c r="R471" s="14"/>
      <c r="S471" s="14"/>
      <c r="T471" s="14"/>
      <c r="U471" s="14"/>
      <c r="V471" s="14"/>
      <c r="W471" s="14"/>
      <c r="X471" s="14"/>
      <c r="Y471" s="13"/>
      <c r="Z471" s="44"/>
      <c r="AA471" s="43"/>
      <c r="AB471" s="13"/>
      <c r="AC471" s="13"/>
      <c r="AD471" s="13"/>
      <c r="AE471" s="13"/>
      <c r="AF471" s="13"/>
      <c r="AG471" s="13"/>
      <c r="AH471" s="13"/>
      <c r="AI471" s="13"/>
      <c r="AJ471" s="72"/>
      <c r="AK471" s="44"/>
    </row>
    <row r="472" spans="1:38" ht="12.75" customHeight="1">
      <c r="A472" s="41">
        <v>108</v>
      </c>
      <c r="B472" s="10">
        <v>1038</v>
      </c>
      <c r="C472" s="10" t="s">
        <v>1387</v>
      </c>
      <c r="D472" s="16">
        <v>774.17</v>
      </c>
      <c r="E472" s="20" t="s">
        <v>1388</v>
      </c>
      <c r="F472" s="20" t="s">
        <v>1389</v>
      </c>
      <c r="G472" s="12">
        <v>3</v>
      </c>
      <c r="H472" s="12">
        <v>4</v>
      </c>
      <c r="I472" s="16">
        <f>ROUND(G472,0)</f>
        <v>3</v>
      </c>
      <c r="J472" s="16">
        <f>ROUND(H472,0)</f>
        <v>4</v>
      </c>
      <c r="K472" s="18" t="str">
        <f>IF(I472=J472,"TAM",(CONCATENATE(G472,"/",H472)))</f>
        <v>3/4</v>
      </c>
      <c r="L472" s="29">
        <f>774.17*3/4</f>
        <v>580.6274999999999</v>
      </c>
      <c r="M472" s="30">
        <v>0</v>
      </c>
      <c r="N472" s="16" t="str">
        <f>IF(M472=0,"0",(O472*M472))</f>
        <v>0</v>
      </c>
      <c r="O472" s="16">
        <f>IF(W472=1,L472,((D472*G472/H472)-P472)/(1-V472)-S472-T472)</f>
        <v>580.6274999999999</v>
      </c>
      <c r="P472" s="16">
        <v>0</v>
      </c>
      <c r="Q472" s="16">
        <f>IF(U472=0,"0",O472*U472)</f>
        <v>194.3664675453021</v>
      </c>
      <c r="R472" s="17">
        <f>IF(U472=0,(((D472*G472/H472)-P472-S472-T472)/(1-V472)),(((D472*G472/H472)-P472-S472-T472)/(1-V472))-((D472*G472/H472)-P472-S472-T472)*U472/(1-V472))</f>
        <v>386.26103245469784</v>
      </c>
      <c r="S472" s="12">
        <v>0</v>
      </c>
      <c r="T472" s="12">
        <v>0</v>
      </c>
      <c r="U472" s="12">
        <v>0.334752431714485</v>
      </c>
      <c r="V472" s="12">
        <v>0</v>
      </c>
      <c r="W472" s="28">
        <f>IF(V472&gt;U472,1,V472)</f>
        <v>0</v>
      </c>
      <c r="X472" s="12">
        <v>1</v>
      </c>
      <c r="Y472" s="16">
        <v>0</v>
      </c>
      <c r="Z472" s="42" t="str">
        <f>IF(OR(W472=1,W472=0),"0",(Q472-N472))</f>
        <v>0</v>
      </c>
      <c r="AA472" s="53" t="s">
        <v>1390</v>
      </c>
      <c r="AB472" s="16" t="s">
        <v>1391</v>
      </c>
      <c r="AC472" s="16">
        <v>386.26</v>
      </c>
      <c r="AD472" s="16">
        <v>636.63</v>
      </c>
      <c r="AE472" s="16">
        <f>ROUND(AC472*100,0)</f>
        <v>38626</v>
      </c>
      <c r="AF472" s="16">
        <f>ROUND(AD472*100,0)</f>
        <v>63663</v>
      </c>
      <c r="AG472" s="19" t="str">
        <f>IF(AC472=AD472,"TAM",(CONCATENATE(AE472,"/",AF472)))</f>
        <v>38626/63663</v>
      </c>
      <c r="AH472" s="11" t="s">
        <v>50</v>
      </c>
      <c r="AI472" s="21" t="s">
        <v>50</v>
      </c>
      <c r="AJ472" s="71" t="s">
        <v>2432</v>
      </c>
      <c r="AK472" s="54" t="s">
        <v>50</v>
      </c>
      <c r="AL472" s="1" t="s">
        <v>50</v>
      </c>
    </row>
    <row r="473" spans="1:37" ht="12.75" customHeight="1">
      <c r="A473" s="43"/>
      <c r="B473" s="13"/>
      <c r="C473" s="13"/>
      <c r="D473" s="31"/>
      <c r="E473" s="14" t="s">
        <v>50</v>
      </c>
      <c r="F473" s="14"/>
      <c r="G473" s="14"/>
      <c r="H473" s="14"/>
      <c r="I473" s="31"/>
      <c r="J473" s="31"/>
      <c r="K473" s="15"/>
      <c r="L473" s="15"/>
      <c r="M473" s="15"/>
      <c r="N473" s="15"/>
      <c r="O473" s="15"/>
      <c r="P473" s="14"/>
      <c r="Q473" s="14"/>
      <c r="R473" s="14"/>
      <c r="S473" s="14"/>
      <c r="T473" s="14"/>
      <c r="U473" s="14"/>
      <c r="V473" s="14"/>
      <c r="W473" s="14"/>
      <c r="X473" s="14"/>
      <c r="Y473" s="13"/>
      <c r="Z473" s="44"/>
      <c r="AA473" s="43"/>
      <c r="AB473" s="13"/>
      <c r="AC473" s="13"/>
      <c r="AD473" s="13"/>
      <c r="AE473" s="13"/>
      <c r="AF473" s="13"/>
      <c r="AG473" s="13"/>
      <c r="AH473" s="13"/>
      <c r="AI473" s="13"/>
      <c r="AJ473" s="72"/>
      <c r="AK473" s="44"/>
    </row>
    <row r="474" spans="1:38" ht="12.75" customHeight="1">
      <c r="A474" s="41">
        <v>461</v>
      </c>
      <c r="B474" s="10">
        <v>1141</v>
      </c>
      <c r="C474" s="10" t="s">
        <v>1392</v>
      </c>
      <c r="D474" s="16">
        <v>1230.41</v>
      </c>
      <c r="E474" s="20" t="s">
        <v>1393</v>
      </c>
      <c r="F474" s="20" t="s">
        <v>1394</v>
      </c>
      <c r="G474" s="12">
        <v>1</v>
      </c>
      <c r="H474" s="12">
        <v>1</v>
      </c>
      <c r="I474" s="16">
        <f>ROUND(G474,0)</f>
        <v>1</v>
      </c>
      <c r="J474" s="16">
        <f>ROUND(H474,0)</f>
        <v>1</v>
      </c>
      <c r="K474" s="18" t="str">
        <f>IF(I474=J474,"TAM",(CONCATENATE(G474,"/",H474)))</f>
        <v>TAM</v>
      </c>
      <c r="L474" s="29">
        <f>1230.41*1/1</f>
        <v>1230.41</v>
      </c>
      <c r="M474" s="30">
        <v>0</v>
      </c>
      <c r="N474" s="16" t="str">
        <f>IF(M474=0,"0",(O474*M474))</f>
        <v>0</v>
      </c>
      <c r="O474" s="16">
        <f>IF(W474=1,L474,((D474*G474/H474)-P474)/(1-V474)-S474-T474)</f>
        <v>1230.41</v>
      </c>
      <c r="P474" s="16">
        <v>0</v>
      </c>
      <c r="Q474" s="16">
        <f>IF(U474=0,"0",O474*U474)</f>
        <v>411.88273950581953</v>
      </c>
      <c r="R474" s="17">
        <f>IF(U474=0,(((D474*G474/H474)-P474-S474-T474)/(1-V474)),(((D474*G474/H474)-P474-S474-T474)/(1-V474))-((D474*G474/H474)-P474-S474-T474)*U474/(1-V474))</f>
        <v>818.5272604941806</v>
      </c>
      <c r="S474" s="12">
        <v>0</v>
      </c>
      <c r="T474" s="12">
        <v>0</v>
      </c>
      <c r="U474" s="12">
        <v>0.334752431714485</v>
      </c>
      <c r="V474" s="12">
        <v>0</v>
      </c>
      <c r="W474" s="28">
        <f>IF(V474&gt;U474,1,V474)</f>
        <v>0</v>
      </c>
      <c r="X474" s="12">
        <v>1</v>
      </c>
      <c r="Y474" s="16">
        <v>0</v>
      </c>
      <c r="Z474" s="42" t="str">
        <f>IF(OR(W474=1,W474=0),"0",(Q474-N474))</f>
        <v>0</v>
      </c>
      <c r="AA474" s="53" t="s">
        <v>1395</v>
      </c>
      <c r="AB474" s="16" t="s">
        <v>1396</v>
      </c>
      <c r="AC474" s="16">
        <v>34.49</v>
      </c>
      <c r="AD474" s="16">
        <v>636.63</v>
      </c>
      <c r="AE474" s="16">
        <f>ROUND(AC474*100,0)</f>
        <v>3449</v>
      </c>
      <c r="AF474" s="16">
        <f>ROUND(AD474*100,0)</f>
        <v>63663</v>
      </c>
      <c r="AG474" s="19" t="str">
        <f>IF(AC474=AD474,"TAM",(CONCATENATE(AE474,"/",AF474)))</f>
        <v>3449/63663</v>
      </c>
      <c r="AH474" s="11" t="s">
        <v>50</v>
      </c>
      <c r="AI474" s="21" t="s">
        <v>50</v>
      </c>
      <c r="AJ474" s="71" t="s">
        <v>2432</v>
      </c>
      <c r="AK474" s="54" t="s">
        <v>50</v>
      </c>
      <c r="AL474" s="1" t="s">
        <v>50</v>
      </c>
    </row>
    <row r="475" spans="1:37" ht="12.75" customHeight="1">
      <c r="A475" s="43"/>
      <c r="B475" s="13"/>
      <c r="C475" s="13"/>
      <c r="D475" s="31"/>
      <c r="E475" s="14" t="s">
        <v>50</v>
      </c>
      <c r="F475" s="14"/>
      <c r="G475" s="14"/>
      <c r="H475" s="14"/>
      <c r="I475" s="31"/>
      <c r="J475" s="31"/>
      <c r="K475" s="15"/>
      <c r="L475" s="15"/>
      <c r="M475" s="15"/>
      <c r="N475" s="15"/>
      <c r="O475" s="15"/>
      <c r="P475" s="14"/>
      <c r="Q475" s="14"/>
      <c r="R475" s="14"/>
      <c r="S475" s="14"/>
      <c r="T475" s="14"/>
      <c r="U475" s="14"/>
      <c r="V475" s="14"/>
      <c r="W475" s="14"/>
      <c r="X475" s="14"/>
      <c r="Y475" s="13"/>
      <c r="Z475" s="44"/>
      <c r="AA475" s="43"/>
      <c r="AB475" s="13"/>
      <c r="AC475" s="13"/>
      <c r="AD475" s="13"/>
      <c r="AE475" s="13"/>
      <c r="AF475" s="13"/>
      <c r="AG475" s="13"/>
      <c r="AH475" s="13"/>
      <c r="AI475" s="13"/>
      <c r="AJ475" s="72"/>
      <c r="AK475" s="44"/>
    </row>
    <row r="476" spans="1:38" ht="18" customHeight="1">
      <c r="A476" s="41">
        <v>116</v>
      </c>
      <c r="B476" s="10">
        <v>1039</v>
      </c>
      <c r="C476" s="10" t="s">
        <v>1397</v>
      </c>
      <c r="D476" s="16">
        <v>819.11</v>
      </c>
      <c r="E476" s="20" t="s">
        <v>1398</v>
      </c>
      <c r="F476" s="20" t="s">
        <v>1399</v>
      </c>
      <c r="G476" s="12">
        <v>3</v>
      </c>
      <c r="H476" s="12">
        <v>16</v>
      </c>
      <c r="I476" s="16">
        <f>ROUND(G476,0)</f>
        <v>3</v>
      </c>
      <c r="J476" s="16">
        <f>ROUND(H476,0)</f>
        <v>16</v>
      </c>
      <c r="K476" s="18" t="str">
        <f>IF(I476=J476,"TAM",(CONCATENATE(G476,"/",H476)))</f>
        <v>3/16</v>
      </c>
      <c r="L476" s="29">
        <f>819.11*3/16</f>
        <v>153.583125</v>
      </c>
      <c r="M476" s="30">
        <v>0</v>
      </c>
      <c r="N476" s="16" t="str">
        <f>IF(M476=0,"0",(O476*M476))</f>
        <v>0</v>
      </c>
      <c r="O476" s="16">
        <f>IF(W476=1,L476,((D476*G476/H476)-P476)/(1-V476)-S476-T476)</f>
        <v>153.583125</v>
      </c>
      <c r="P476" s="16">
        <v>0</v>
      </c>
      <c r="Q476" s="16">
        <f>IF(U476=0,"0",O476*U476)</f>
        <v>51.41232456405971</v>
      </c>
      <c r="R476" s="17">
        <f>IF(U476=0,(((D476*G476/H476)-P476-S476-T476)/(1-V476)),(((D476*G476/H476)-P476-S476-T476)/(1-V476))-((D476*G476/H476)-P476-S476-T476)*U476/(1-V476))</f>
        <v>102.1708004359403</v>
      </c>
      <c r="S476" s="12">
        <v>0</v>
      </c>
      <c r="T476" s="12">
        <v>0</v>
      </c>
      <c r="U476" s="12">
        <v>0.334752431714485</v>
      </c>
      <c r="V476" s="12">
        <v>0</v>
      </c>
      <c r="W476" s="28">
        <f>IF(V476&gt;U476,1,V476)</f>
        <v>0</v>
      </c>
      <c r="X476" s="12">
        <v>1</v>
      </c>
      <c r="Y476" s="16">
        <v>0</v>
      </c>
      <c r="Z476" s="42" t="str">
        <f>IF(OR(W476=1,W476=0),"0",(Q476-N476))</f>
        <v>0</v>
      </c>
      <c r="AA476" s="53" t="s">
        <v>1400</v>
      </c>
      <c r="AB476" s="16" t="s">
        <v>1401</v>
      </c>
      <c r="AC476" s="16">
        <v>102.17</v>
      </c>
      <c r="AD476" s="16">
        <v>544.91</v>
      </c>
      <c r="AE476" s="16">
        <f>ROUND(AC476*100,0)</f>
        <v>10217</v>
      </c>
      <c r="AF476" s="16">
        <f>ROUND(AD476*100,0)</f>
        <v>54491</v>
      </c>
      <c r="AG476" s="19" t="str">
        <f>IF(AC476=AD476,"TAM",(CONCATENATE(AE476,"/",AF476)))</f>
        <v>10217/54491</v>
      </c>
      <c r="AH476" s="11" t="s">
        <v>50</v>
      </c>
      <c r="AI476" s="21" t="s">
        <v>50</v>
      </c>
      <c r="AJ476" s="77" t="s">
        <v>2427</v>
      </c>
      <c r="AK476" s="54" t="s">
        <v>50</v>
      </c>
      <c r="AL476" s="1" t="s">
        <v>50</v>
      </c>
    </row>
    <row r="477" spans="1:37" ht="18" customHeight="1">
      <c r="A477" s="43"/>
      <c r="B477" s="13"/>
      <c r="C477" s="13"/>
      <c r="D477" s="31"/>
      <c r="E477" s="14" t="s">
        <v>50</v>
      </c>
      <c r="F477" s="14"/>
      <c r="G477" s="14"/>
      <c r="H477" s="14"/>
      <c r="I477" s="31"/>
      <c r="J477" s="31"/>
      <c r="K477" s="15"/>
      <c r="L477" s="15"/>
      <c r="M477" s="15"/>
      <c r="N477" s="15"/>
      <c r="O477" s="15"/>
      <c r="P477" s="14"/>
      <c r="Q477" s="14"/>
      <c r="R477" s="14"/>
      <c r="S477" s="14"/>
      <c r="T477" s="14"/>
      <c r="U477" s="14"/>
      <c r="V477" s="14"/>
      <c r="W477" s="14"/>
      <c r="X477" s="14"/>
      <c r="Y477" s="13"/>
      <c r="Z477" s="44"/>
      <c r="AA477" s="43"/>
      <c r="AB477" s="13"/>
      <c r="AC477" s="13"/>
      <c r="AD477" s="13"/>
      <c r="AE477" s="13"/>
      <c r="AF477" s="13"/>
      <c r="AG477" s="13"/>
      <c r="AH477" s="13"/>
      <c r="AI477" s="13"/>
      <c r="AJ477" s="78"/>
      <c r="AK477" s="44"/>
    </row>
    <row r="478" spans="1:38" ht="18" customHeight="1">
      <c r="A478" s="41">
        <v>115</v>
      </c>
      <c r="B478" s="10">
        <v>1039</v>
      </c>
      <c r="C478" s="10" t="s">
        <v>1402</v>
      </c>
      <c r="D478" s="16">
        <v>819.11</v>
      </c>
      <c r="E478" s="20" t="s">
        <v>1403</v>
      </c>
      <c r="F478" s="20" t="s">
        <v>1404</v>
      </c>
      <c r="G478" s="12">
        <v>3</v>
      </c>
      <c r="H478" s="12">
        <v>16</v>
      </c>
      <c r="I478" s="16">
        <f>ROUND(G478,0)</f>
        <v>3</v>
      </c>
      <c r="J478" s="16">
        <f>ROUND(H478,0)</f>
        <v>16</v>
      </c>
      <c r="K478" s="18" t="str">
        <f>IF(I478=J478,"TAM",(CONCATENATE(G478,"/",H478)))</f>
        <v>3/16</v>
      </c>
      <c r="L478" s="29">
        <f>819.11*3/16</f>
        <v>153.583125</v>
      </c>
      <c r="M478" s="30">
        <v>0</v>
      </c>
      <c r="N478" s="16" t="str">
        <f>IF(M478=0,"0",(O478*M478))</f>
        <v>0</v>
      </c>
      <c r="O478" s="16">
        <f>IF(W478=1,L478,((D478*G478/H478)-P478)/(1-V478)-S478-T478)</f>
        <v>153.583125</v>
      </c>
      <c r="P478" s="16">
        <v>0</v>
      </c>
      <c r="Q478" s="16">
        <f>IF(U478=0,"0",O478*U478)</f>
        <v>51.41232456405971</v>
      </c>
      <c r="R478" s="17">
        <f>IF(U478=0,(((D478*G478/H478)-P478-S478-T478)/(1-V478)),(((D478*G478/H478)-P478-S478-T478)/(1-V478))-((D478*G478/H478)-P478-S478-T478)*U478/(1-V478))</f>
        <v>102.1708004359403</v>
      </c>
      <c r="S478" s="12">
        <v>0</v>
      </c>
      <c r="T478" s="12">
        <v>0</v>
      </c>
      <c r="U478" s="12">
        <v>0.334752431714485</v>
      </c>
      <c r="V478" s="12">
        <v>0</v>
      </c>
      <c r="W478" s="28">
        <f>IF(V478&gt;U478,1,V478)</f>
        <v>0</v>
      </c>
      <c r="X478" s="12">
        <v>1</v>
      </c>
      <c r="Y478" s="16">
        <v>0</v>
      </c>
      <c r="Z478" s="42" t="str">
        <f>IF(OR(W478=1,W478=0),"0",(Q478-N478))</f>
        <v>0</v>
      </c>
      <c r="AA478" s="53" t="s">
        <v>1405</v>
      </c>
      <c r="AB478" s="16" t="s">
        <v>1406</v>
      </c>
      <c r="AC478" s="16">
        <v>102.17</v>
      </c>
      <c r="AD478" s="16">
        <v>544.91</v>
      </c>
      <c r="AE478" s="16">
        <f>ROUND(AC478*100,0)</f>
        <v>10217</v>
      </c>
      <c r="AF478" s="16">
        <f>ROUND(AD478*100,0)</f>
        <v>54491</v>
      </c>
      <c r="AG478" s="19" t="str">
        <f>IF(AC478=AD478,"TAM",(CONCATENATE(AE478,"/",AF478)))</f>
        <v>10217/54491</v>
      </c>
      <c r="AH478" s="11" t="s">
        <v>50</v>
      </c>
      <c r="AI478" s="21" t="s">
        <v>50</v>
      </c>
      <c r="AJ478" s="77" t="s">
        <v>2427</v>
      </c>
      <c r="AK478" s="54" t="s">
        <v>50</v>
      </c>
      <c r="AL478" s="1" t="s">
        <v>50</v>
      </c>
    </row>
    <row r="479" spans="1:37" ht="18" customHeight="1">
      <c r="A479" s="43"/>
      <c r="B479" s="13"/>
      <c r="C479" s="13"/>
      <c r="D479" s="31"/>
      <c r="E479" s="14" t="s">
        <v>50</v>
      </c>
      <c r="F479" s="14"/>
      <c r="G479" s="14"/>
      <c r="H479" s="14"/>
      <c r="I479" s="31"/>
      <c r="J479" s="31"/>
      <c r="K479" s="15"/>
      <c r="L479" s="15"/>
      <c r="M479" s="15"/>
      <c r="N479" s="15"/>
      <c r="O479" s="15"/>
      <c r="P479" s="14"/>
      <c r="Q479" s="14"/>
      <c r="R479" s="14"/>
      <c r="S479" s="14"/>
      <c r="T479" s="14"/>
      <c r="U479" s="14"/>
      <c r="V479" s="14"/>
      <c r="W479" s="14"/>
      <c r="X479" s="14"/>
      <c r="Y479" s="13"/>
      <c r="Z479" s="44"/>
      <c r="AA479" s="43"/>
      <c r="AB479" s="13"/>
      <c r="AC479" s="13"/>
      <c r="AD479" s="13"/>
      <c r="AE479" s="13"/>
      <c r="AF479" s="13"/>
      <c r="AG479" s="13"/>
      <c r="AH479" s="13"/>
      <c r="AI479" s="13"/>
      <c r="AJ479" s="78"/>
      <c r="AK479" s="44"/>
    </row>
    <row r="480" spans="1:38" ht="18" customHeight="1">
      <c r="A480" s="41">
        <v>114</v>
      </c>
      <c r="B480" s="10">
        <v>1039</v>
      </c>
      <c r="C480" s="10" t="s">
        <v>1407</v>
      </c>
      <c r="D480" s="16">
        <v>819.11</v>
      </c>
      <c r="E480" s="20" t="s">
        <v>1408</v>
      </c>
      <c r="F480" s="20" t="s">
        <v>1409</v>
      </c>
      <c r="G480" s="12">
        <v>3</v>
      </c>
      <c r="H480" s="12">
        <v>16</v>
      </c>
      <c r="I480" s="16">
        <f>ROUND(G480,0)</f>
        <v>3</v>
      </c>
      <c r="J480" s="16">
        <f>ROUND(H480,0)</f>
        <v>16</v>
      </c>
      <c r="K480" s="18" t="str">
        <f>IF(I480=J480,"TAM",(CONCATENATE(G480,"/",H480)))</f>
        <v>3/16</v>
      </c>
      <c r="L480" s="29">
        <f>819.11*3/16</f>
        <v>153.583125</v>
      </c>
      <c r="M480" s="30">
        <v>0</v>
      </c>
      <c r="N480" s="16" t="str">
        <f>IF(M480=0,"0",(O480*M480))</f>
        <v>0</v>
      </c>
      <c r="O480" s="16">
        <f>IF(W480=1,L480,((D480*G480/H480)-P480)/(1-V480)-S480-T480)</f>
        <v>153.583125</v>
      </c>
      <c r="P480" s="16">
        <v>0</v>
      </c>
      <c r="Q480" s="16">
        <f>IF(U480=0,"0",O480*U480)</f>
        <v>51.41232456405971</v>
      </c>
      <c r="R480" s="17">
        <f>IF(U480=0,(((D480*G480/H480)-P480-S480-T480)/(1-V480)),(((D480*G480/H480)-P480-S480-T480)/(1-V480))-((D480*G480/H480)-P480-S480-T480)*U480/(1-V480))</f>
        <v>102.1708004359403</v>
      </c>
      <c r="S480" s="12">
        <v>0</v>
      </c>
      <c r="T480" s="12">
        <v>0</v>
      </c>
      <c r="U480" s="12">
        <v>0.334752431714485</v>
      </c>
      <c r="V480" s="12">
        <v>0</v>
      </c>
      <c r="W480" s="28">
        <f>IF(V480&gt;U480,1,V480)</f>
        <v>0</v>
      </c>
      <c r="X480" s="12">
        <v>1</v>
      </c>
      <c r="Y480" s="16">
        <v>0</v>
      </c>
      <c r="Z480" s="42" t="str">
        <f>IF(OR(W480=1,W480=0),"0",(Q480-N480))</f>
        <v>0</v>
      </c>
      <c r="AA480" s="53" t="s">
        <v>1410</v>
      </c>
      <c r="AB480" s="16" t="s">
        <v>1411</v>
      </c>
      <c r="AC480" s="16">
        <v>102.17</v>
      </c>
      <c r="AD480" s="16">
        <v>544.91</v>
      </c>
      <c r="AE480" s="16">
        <f>ROUND(AC480*100,0)</f>
        <v>10217</v>
      </c>
      <c r="AF480" s="16">
        <f>ROUND(AD480*100,0)</f>
        <v>54491</v>
      </c>
      <c r="AG480" s="19" t="str">
        <f>IF(AC480=AD480,"TAM",(CONCATENATE(AE480,"/",AF480)))</f>
        <v>10217/54491</v>
      </c>
      <c r="AH480" s="11" t="s">
        <v>50</v>
      </c>
      <c r="AI480" s="21" t="s">
        <v>50</v>
      </c>
      <c r="AJ480" s="77" t="s">
        <v>2427</v>
      </c>
      <c r="AK480" s="54" t="s">
        <v>50</v>
      </c>
      <c r="AL480" s="1" t="s">
        <v>50</v>
      </c>
    </row>
    <row r="481" spans="1:37" ht="18" customHeight="1">
      <c r="A481" s="43"/>
      <c r="B481" s="13"/>
      <c r="C481" s="13"/>
      <c r="D481" s="31"/>
      <c r="E481" s="14" t="s">
        <v>50</v>
      </c>
      <c r="F481" s="14"/>
      <c r="G481" s="14"/>
      <c r="H481" s="14"/>
      <c r="I481" s="31"/>
      <c r="J481" s="31"/>
      <c r="K481" s="15"/>
      <c r="L481" s="15"/>
      <c r="M481" s="15"/>
      <c r="N481" s="15"/>
      <c r="O481" s="15"/>
      <c r="P481" s="14"/>
      <c r="Q481" s="14"/>
      <c r="R481" s="14"/>
      <c r="S481" s="14"/>
      <c r="T481" s="14"/>
      <c r="U481" s="14"/>
      <c r="V481" s="14"/>
      <c r="W481" s="14"/>
      <c r="X481" s="14"/>
      <c r="Y481" s="13"/>
      <c r="Z481" s="44"/>
      <c r="AA481" s="43"/>
      <c r="AB481" s="13"/>
      <c r="AC481" s="13"/>
      <c r="AD481" s="13"/>
      <c r="AE481" s="13"/>
      <c r="AF481" s="13"/>
      <c r="AG481" s="13"/>
      <c r="AH481" s="13"/>
      <c r="AI481" s="13"/>
      <c r="AJ481" s="78"/>
      <c r="AK481" s="44"/>
    </row>
    <row r="482" spans="1:38" ht="18" customHeight="1">
      <c r="A482" s="41">
        <v>117</v>
      </c>
      <c r="B482" s="10">
        <v>1039</v>
      </c>
      <c r="C482" s="10" t="s">
        <v>1412</v>
      </c>
      <c r="D482" s="16">
        <v>819.11</v>
      </c>
      <c r="E482" s="20" t="s">
        <v>1413</v>
      </c>
      <c r="F482" s="20" t="s">
        <v>1414</v>
      </c>
      <c r="G482" s="12">
        <v>1</v>
      </c>
      <c r="H482" s="12">
        <v>4</v>
      </c>
      <c r="I482" s="16">
        <f>ROUND(G482,0)</f>
        <v>1</v>
      </c>
      <c r="J482" s="16">
        <f>ROUND(H482,0)</f>
        <v>4</v>
      </c>
      <c r="K482" s="18" t="str">
        <f>IF(I482=J482,"TAM",(CONCATENATE(G482,"/",H482)))</f>
        <v>1/4</v>
      </c>
      <c r="L482" s="29">
        <f>819.11*1/4</f>
        <v>204.7775</v>
      </c>
      <c r="M482" s="30">
        <v>0</v>
      </c>
      <c r="N482" s="16" t="str">
        <f>IF(M482=0,"0",(O482*M482))</f>
        <v>0</v>
      </c>
      <c r="O482" s="16">
        <f>IF(W482=1,L482,((D482*G482/H482)-P482)/(1-V482)-S482-T482)</f>
        <v>204.7775</v>
      </c>
      <c r="P482" s="16">
        <v>0</v>
      </c>
      <c r="Q482" s="16">
        <f>IF(U482=0,"0",O482*U482)</f>
        <v>68.54976608541295</v>
      </c>
      <c r="R482" s="17">
        <f>IF(U482=0,(((D482*G482/H482)-P482-S482-T482)/(1-V482)),(((D482*G482/H482)-P482-S482-T482)/(1-V482))-((D482*G482/H482)-P482-S482-T482)*U482/(1-V482))</f>
        <v>136.22773391458705</v>
      </c>
      <c r="S482" s="12">
        <v>0</v>
      </c>
      <c r="T482" s="12">
        <v>0</v>
      </c>
      <c r="U482" s="12">
        <v>0.334752431714485</v>
      </c>
      <c r="V482" s="12">
        <v>0</v>
      </c>
      <c r="W482" s="28">
        <f>IF(V482&gt;U482,1,V482)</f>
        <v>0</v>
      </c>
      <c r="X482" s="12">
        <v>1</v>
      </c>
      <c r="Y482" s="16">
        <v>0</v>
      </c>
      <c r="Z482" s="42" t="str">
        <f>IF(OR(W482=1,W482=0),"0",(Q482-N482))</f>
        <v>0</v>
      </c>
      <c r="AA482" s="53" t="s">
        <v>1416</v>
      </c>
      <c r="AB482" s="16" t="s">
        <v>1417</v>
      </c>
      <c r="AC482" s="16">
        <v>136.23</v>
      </c>
      <c r="AD482" s="16">
        <v>544.91</v>
      </c>
      <c r="AE482" s="16">
        <f>ROUND(AC482*100,0)</f>
        <v>13623</v>
      </c>
      <c r="AF482" s="16">
        <f>ROUND(AD482*100,0)</f>
        <v>54491</v>
      </c>
      <c r="AG482" s="19" t="str">
        <f>IF(AC482=AD482,"TAM",(CONCATENATE(AE482,"/",AF482)))</f>
        <v>13623/54491</v>
      </c>
      <c r="AH482" s="11" t="s">
        <v>50</v>
      </c>
      <c r="AI482" s="21" t="s">
        <v>50</v>
      </c>
      <c r="AJ482" s="77" t="s">
        <v>2427</v>
      </c>
      <c r="AK482" s="54" t="s">
        <v>50</v>
      </c>
      <c r="AL482" s="1" t="s">
        <v>50</v>
      </c>
    </row>
    <row r="483" spans="1:37" ht="33" customHeight="1">
      <c r="A483" s="43"/>
      <c r="B483" s="13"/>
      <c r="C483" s="13"/>
      <c r="D483" s="31"/>
      <c r="E483" s="34" t="s">
        <v>1415</v>
      </c>
      <c r="F483" s="14"/>
      <c r="G483" s="14"/>
      <c r="H483" s="14"/>
      <c r="I483" s="31"/>
      <c r="J483" s="31"/>
      <c r="K483" s="15"/>
      <c r="L483" s="15"/>
      <c r="M483" s="15"/>
      <c r="N483" s="15"/>
      <c r="O483" s="15"/>
      <c r="P483" s="14"/>
      <c r="Q483" s="14"/>
      <c r="R483" s="14"/>
      <c r="S483" s="14"/>
      <c r="T483" s="14"/>
      <c r="U483" s="14"/>
      <c r="V483" s="14"/>
      <c r="W483" s="14"/>
      <c r="X483" s="14"/>
      <c r="Y483" s="13"/>
      <c r="Z483" s="44"/>
      <c r="AA483" s="43"/>
      <c r="AB483" s="13"/>
      <c r="AC483" s="13"/>
      <c r="AD483" s="13"/>
      <c r="AE483" s="13"/>
      <c r="AF483" s="13"/>
      <c r="AG483" s="13"/>
      <c r="AH483" s="13"/>
      <c r="AI483" s="13"/>
      <c r="AJ483" s="78"/>
      <c r="AK483" s="44"/>
    </row>
    <row r="484" spans="1:38" ht="18" customHeight="1">
      <c r="A484" s="41">
        <v>113</v>
      </c>
      <c r="B484" s="10">
        <v>1039</v>
      </c>
      <c r="C484" s="10" t="s">
        <v>1418</v>
      </c>
      <c r="D484" s="16">
        <v>819.11</v>
      </c>
      <c r="E484" s="20" t="s">
        <v>1419</v>
      </c>
      <c r="F484" s="20" t="s">
        <v>1420</v>
      </c>
      <c r="G484" s="12">
        <v>3</v>
      </c>
      <c r="H484" s="12">
        <v>16</v>
      </c>
      <c r="I484" s="16">
        <f>ROUND(G484,0)</f>
        <v>3</v>
      </c>
      <c r="J484" s="16">
        <f>ROUND(H484,0)</f>
        <v>16</v>
      </c>
      <c r="K484" s="18" t="str">
        <f>IF(I484=J484,"TAM",(CONCATENATE(G484,"/",H484)))</f>
        <v>3/16</v>
      </c>
      <c r="L484" s="29">
        <f>819.11*3/16</f>
        <v>153.583125</v>
      </c>
      <c r="M484" s="30">
        <v>0</v>
      </c>
      <c r="N484" s="16" t="str">
        <f>IF(M484=0,"0",(O484*M484))</f>
        <v>0</v>
      </c>
      <c r="O484" s="16">
        <f>IF(W484=1,L484,((D484*G484/H484)-P484)/(1-V484)-S484-T484)</f>
        <v>153.583125</v>
      </c>
      <c r="P484" s="16">
        <v>0</v>
      </c>
      <c r="Q484" s="16">
        <f>IF(U484=0,"0",O484*U484)</f>
        <v>51.41232456405971</v>
      </c>
      <c r="R484" s="17">
        <f>IF(U484=0,(((D484*G484/H484)-P484-S484-T484)/(1-V484)),(((D484*G484/H484)-P484-S484-T484)/(1-V484))-((D484*G484/H484)-P484-S484-T484)*U484/(1-V484))</f>
        <v>102.1708004359403</v>
      </c>
      <c r="S484" s="12">
        <v>0</v>
      </c>
      <c r="T484" s="12">
        <v>0</v>
      </c>
      <c r="U484" s="12">
        <v>0.334752431714485</v>
      </c>
      <c r="V484" s="12">
        <v>0</v>
      </c>
      <c r="W484" s="28">
        <f>IF(V484&gt;U484,1,V484)</f>
        <v>0</v>
      </c>
      <c r="X484" s="12">
        <v>1</v>
      </c>
      <c r="Y484" s="16">
        <v>0</v>
      </c>
      <c r="Z484" s="42" t="str">
        <f>IF(OR(W484=1,W484=0),"0",(Q484-N484))</f>
        <v>0</v>
      </c>
      <c r="AA484" s="53" t="s">
        <v>1421</v>
      </c>
      <c r="AB484" s="16" t="s">
        <v>1422</v>
      </c>
      <c r="AC484" s="16">
        <v>102.17</v>
      </c>
      <c r="AD484" s="16">
        <v>544.91</v>
      </c>
      <c r="AE484" s="16">
        <f>ROUND(AC484*100,0)</f>
        <v>10217</v>
      </c>
      <c r="AF484" s="16">
        <f>ROUND(AD484*100,0)</f>
        <v>54491</v>
      </c>
      <c r="AG484" s="19" t="str">
        <f>IF(AC484=AD484,"TAM",(CONCATENATE(AE484,"/",AF484)))</f>
        <v>10217/54491</v>
      </c>
      <c r="AH484" s="11" t="s">
        <v>50</v>
      </c>
      <c r="AI484" s="21" t="s">
        <v>50</v>
      </c>
      <c r="AJ484" s="77" t="s">
        <v>2427</v>
      </c>
      <c r="AK484" s="54" t="s">
        <v>50</v>
      </c>
      <c r="AL484" s="1" t="s">
        <v>50</v>
      </c>
    </row>
    <row r="485" spans="1:37" ht="18" customHeight="1">
      <c r="A485" s="43"/>
      <c r="B485" s="13"/>
      <c r="C485" s="13"/>
      <c r="D485" s="31"/>
      <c r="E485" s="14" t="s">
        <v>50</v>
      </c>
      <c r="F485" s="14"/>
      <c r="G485" s="14"/>
      <c r="H485" s="14"/>
      <c r="I485" s="31"/>
      <c r="J485" s="31"/>
      <c r="K485" s="15"/>
      <c r="L485" s="15"/>
      <c r="M485" s="15"/>
      <c r="N485" s="15"/>
      <c r="O485" s="15"/>
      <c r="P485" s="14"/>
      <c r="Q485" s="14"/>
      <c r="R485" s="14"/>
      <c r="S485" s="14"/>
      <c r="T485" s="14"/>
      <c r="U485" s="14"/>
      <c r="V485" s="14"/>
      <c r="W485" s="14"/>
      <c r="X485" s="14"/>
      <c r="Y485" s="13"/>
      <c r="Z485" s="44"/>
      <c r="AA485" s="43"/>
      <c r="AB485" s="13"/>
      <c r="AC485" s="13"/>
      <c r="AD485" s="13"/>
      <c r="AE485" s="13"/>
      <c r="AF485" s="13"/>
      <c r="AG485" s="13"/>
      <c r="AH485" s="13"/>
      <c r="AI485" s="13"/>
      <c r="AJ485" s="78"/>
      <c r="AK485" s="44"/>
    </row>
    <row r="486" spans="1:38" ht="12.75" customHeight="1">
      <c r="A486" s="41">
        <v>308</v>
      </c>
      <c r="B486" s="10">
        <v>1096</v>
      </c>
      <c r="C486" s="10" t="s">
        <v>1423</v>
      </c>
      <c r="D486" s="16">
        <v>753.67</v>
      </c>
      <c r="E486" s="20" t="s">
        <v>1424</v>
      </c>
      <c r="F486" s="20" t="s">
        <v>1425</v>
      </c>
      <c r="G486" s="12">
        <v>1</v>
      </c>
      <c r="H486" s="12">
        <v>1</v>
      </c>
      <c r="I486" s="16">
        <f>ROUND(G486,0)</f>
        <v>1</v>
      </c>
      <c r="J486" s="16">
        <f>ROUND(H486,0)</f>
        <v>1</v>
      </c>
      <c r="K486" s="18" t="str">
        <f>IF(I486=J486,"TAM",(CONCATENATE(G486,"/",H486)))</f>
        <v>TAM</v>
      </c>
      <c r="L486" s="29">
        <f>753.67*1/1</f>
        <v>753.67</v>
      </c>
      <c r="M486" s="30">
        <v>0</v>
      </c>
      <c r="N486" s="16" t="str">
        <f>IF(M486=0,"0",(O486*M486))</f>
        <v>0</v>
      </c>
      <c r="O486" s="16">
        <f>IF(W486=1,L486,((D486*G486/H486)-P486)/(1-V486)-S486-T486)</f>
        <v>753.67</v>
      </c>
      <c r="P486" s="16">
        <v>0</v>
      </c>
      <c r="Q486" s="16">
        <f>IF(U486=0,"0",O486*U486)</f>
        <v>252.29286521025588</v>
      </c>
      <c r="R486" s="17">
        <f>IF(U486=0,(((D486*G486/H486)-P486-S486-T486)/(1-V486)),(((D486*G486/H486)-P486-S486-T486)/(1-V486))-((D486*G486/H486)-P486-S486-T486)*U486/(1-V486))</f>
        <v>501.3771347897441</v>
      </c>
      <c r="S486" s="12">
        <v>0</v>
      </c>
      <c r="T486" s="12">
        <v>0</v>
      </c>
      <c r="U486" s="12">
        <v>0.334752431714485</v>
      </c>
      <c r="V486" s="12">
        <v>0</v>
      </c>
      <c r="W486" s="28">
        <f>IF(V486&gt;U486,1,V486)</f>
        <v>0</v>
      </c>
      <c r="X486" s="12">
        <v>1</v>
      </c>
      <c r="Y486" s="16">
        <v>0</v>
      </c>
      <c r="Z486" s="42" t="str">
        <f>IF(OR(W486=1,W486=0),"0",(Q486-N486))</f>
        <v>0</v>
      </c>
      <c r="AA486" s="53" t="s">
        <v>1426</v>
      </c>
      <c r="AB486" s="16" t="s">
        <v>1428</v>
      </c>
      <c r="AC486" s="16">
        <v>223.77</v>
      </c>
      <c r="AD486" s="16">
        <v>926.08</v>
      </c>
      <c r="AE486" s="16">
        <f>ROUND(AC486*100,0)</f>
        <v>22377</v>
      </c>
      <c r="AF486" s="16">
        <f>ROUND(AD486*100,0)</f>
        <v>92608</v>
      </c>
      <c r="AG486" s="19" t="str">
        <f>IF(AC486=AD486,"TAM",(CONCATENATE(AE486,"/",AF486)))</f>
        <v>22377/92608</v>
      </c>
      <c r="AH486" s="11" t="s">
        <v>50</v>
      </c>
      <c r="AI486" s="21" t="s">
        <v>50</v>
      </c>
      <c r="AJ486" s="21" t="s">
        <v>1427</v>
      </c>
      <c r="AK486" s="54" t="s">
        <v>50</v>
      </c>
      <c r="AL486" s="1" t="s">
        <v>50</v>
      </c>
    </row>
    <row r="487" spans="1:37" ht="12.75" customHeight="1">
      <c r="A487" s="43"/>
      <c r="B487" s="13"/>
      <c r="C487" s="13"/>
      <c r="D487" s="31"/>
      <c r="E487" s="14" t="s">
        <v>50</v>
      </c>
      <c r="F487" s="14"/>
      <c r="G487" s="14"/>
      <c r="H487" s="14"/>
      <c r="I487" s="31"/>
      <c r="J487" s="31"/>
      <c r="K487" s="15"/>
      <c r="L487" s="15"/>
      <c r="M487" s="15"/>
      <c r="N487" s="15"/>
      <c r="O487" s="15"/>
      <c r="P487" s="14"/>
      <c r="Q487" s="14"/>
      <c r="R487" s="14"/>
      <c r="S487" s="14"/>
      <c r="T487" s="14"/>
      <c r="U487" s="14"/>
      <c r="V487" s="14"/>
      <c r="W487" s="14"/>
      <c r="X487" s="14"/>
      <c r="Y487" s="13"/>
      <c r="Z487" s="44"/>
      <c r="AA487" s="43"/>
      <c r="AB487" s="13"/>
      <c r="AC487" s="13"/>
      <c r="AD487" s="13"/>
      <c r="AE487" s="13"/>
      <c r="AF487" s="13"/>
      <c r="AG487" s="13"/>
      <c r="AH487" s="13"/>
      <c r="AI487" s="13"/>
      <c r="AJ487" s="13"/>
      <c r="AK487" s="44"/>
    </row>
    <row r="488" spans="1:38" ht="12.75" customHeight="1">
      <c r="A488" s="41">
        <v>309</v>
      </c>
      <c r="B488" s="10">
        <v>1097</v>
      </c>
      <c r="C488" s="10" t="s">
        <v>1429</v>
      </c>
      <c r="D488" s="16">
        <v>571.53</v>
      </c>
      <c r="E488" s="20" t="s">
        <v>1430</v>
      </c>
      <c r="F488" s="20" t="s">
        <v>1431</v>
      </c>
      <c r="G488" s="12">
        <v>1</v>
      </c>
      <c r="H488" s="12">
        <v>1</v>
      </c>
      <c r="I488" s="16">
        <f>ROUND(G488,0)</f>
        <v>1</v>
      </c>
      <c r="J488" s="16">
        <f>ROUND(H488,0)</f>
        <v>1</v>
      </c>
      <c r="K488" s="18" t="str">
        <f>IF(I488=J488,"TAM",(CONCATENATE(G488,"/",H488)))</f>
        <v>TAM</v>
      </c>
      <c r="L488" s="29">
        <f>571.53*1/1</f>
        <v>571.53</v>
      </c>
      <c r="M488" s="30">
        <v>0</v>
      </c>
      <c r="N488" s="16" t="str">
        <f>IF(M488=0,"0",(O488*M488))</f>
        <v>0</v>
      </c>
      <c r="O488" s="16">
        <f>IF(W488=1,L488,((D488*G488/H488)-P488)/(1-V488)-S488-T488)</f>
        <v>571.53</v>
      </c>
      <c r="P488" s="16">
        <v>0</v>
      </c>
      <c r="Q488" s="16">
        <f>IF(U488=0,"0",O488*U488)</f>
        <v>191.3210572977796</v>
      </c>
      <c r="R488" s="17">
        <f>IF(U488=0,(((D488*G488/H488)-P488-S488-T488)/(1-V488)),(((D488*G488/H488)-P488-S488-T488)/(1-V488))-((D488*G488/H488)-P488-S488-T488)*U488/(1-V488))</f>
        <v>380.2089427022204</v>
      </c>
      <c r="S488" s="12">
        <v>0</v>
      </c>
      <c r="T488" s="12">
        <v>0</v>
      </c>
      <c r="U488" s="12">
        <v>0.334752431714485</v>
      </c>
      <c r="V488" s="12">
        <v>0</v>
      </c>
      <c r="W488" s="28">
        <f>IF(V488&gt;U488,1,V488)</f>
        <v>0</v>
      </c>
      <c r="X488" s="12">
        <v>1</v>
      </c>
      <c r="Y488" s="16">
        <v>0</v>
      </c>
      <c r="Z488" s="42" t="str">
        <f>IF(OR(W488=1,W488=0),"0",(Q488-N488))</f>
        <v>0</v>
      </c>
      <c r="AA488" s="53" t="s">
        <v>1432</v>
      </c>
      <c r="AB488" s="16" t="s">
        <v>1434</v>
      </c>
      <c r="AC488" s="16">
        <v>380.21</v>
      </c>
      <c r="AD488" s="16">
        <v>926.08</v>
      </c>
      <c r="AE488" s="16">
        <f>ROUND(AC488*100,0)</f>
        <v>38021</v>
      </c>
      <c r="AF488" s="16">
        <f>ROUND(AD488*100,0)</f>
        <v>92608</v>
      </c>
      <c r="AG488" s="19" t="str">
        <f>IF(AC488=AD488,"TAM",(CONCATENATE(AE488,"/",AF488)))</f>
        <v>38021/92608</v>
      </c>
      <c r="AH488" s="11" t="s">
        <v>50</v>
      </c>
      <c r="AI488" s="21" t="s">
        <v>50</v>
      </c>
      <c r="AJ488" s="21" t="s">
        <v>1433</v>
      </c>
      <c r="AK488" s="54" t="s">
        <v>50</v>
      </c>
      <c r="AL488" s="1" t="s">
        <v>50</v>
      </c>
    </row>
    <row r="489" spans="1:37" ht="12.75" customHeight="1">
      <c r="A489" s="43"/>
      <c r="B489" s="13"/>
      <c r="C489" s="13"/>
      <c r="D489" s="31"/>
      <c r="E489" s="14" t="s">
        <v>50</v>
      </c>
      <c r="F489" s="14"/>
      <c r="G489" s="14"/>
      <c r="H489" s="14"/>
      <c r="I489" s="31"/>
      <c r="J489" s="31"/>
      <c r="K489" s="15"/>
      <c r="L489" s="15"/>
      <c r="M489" s="15"/>
      <c r="N489" s="15"/>
      <c r="O489" s="15"/>
      <c r="P489" s="14"/>
      <c r="Q489" s="14"/>
      <c r="R489" s="14"/>
      <c r="S489" s="14"/>
      <c r="T489" s="14"/>
      <c r="U489" s="14"/>
      <c r="V489" s="14"/>
      <c r="W489" s="14"/>
      <c r="X489" s="14"/>
      <c r="Y489" s="13"/>
      <c r="Z489" s="44"/>
      <c r="AA489" s="43"/>
      <c r="AB489" s="13"/>
      <c r="AC489" s="13"/>
      <c r="AD489" s="13"/>
      <c r="AE489" s="13"/>
      <c r="AF489" s="13"/>
      <c r="AG489" s="13"/>
      <c r="AH489" s="13"/>
      <c r="AI489" s="13"/>
      <c r="AJ489" s="13"/>
      <c r="AK489" s="44"/>
    </row>
    <row r="490" spans="1:38" ht="12.75" customHeight="1">
      <c r="A490" s="41">
        <v>310</v>
      </c>
      <c r="B490" s="10">
        <v>1098</v>
      </c>
      <c r="C490" s="10" t="s">
        <v>1435</v>
      </c>
      <c r="D490" s="16">
        <v>484.18</v>
      </c>
      <c r="E490" s="20" t="s">
        <v>1436</v>
      </c>
      <c r="F490" s="20" t="s">
        <v>1437</v>
      </c>
      <c r="G490" s="12">
        <v>1</v>
      </c>
      <c r="H490" s="12">
        <v>1</v>
      </c>
      <c r="I490" s="16">
        <f>ROUND(G490,0)</f>
        <v>1</v>
      </c>
      <c r="J490" s="16">
        <f>ROUND(H490,0)</f>
        <v>1</v>
      </c>
      <c r="K490" s="18" t="str">
        <f>IF(I490=J490,"TAM",(CONCATENATE(G490,"/",H490)))</f>
        <v>TAM</v>
      </c>
      <c r="L490" s="29">
        <f>484.18*1/1</f>
        <v>484.18</v>
      </c>
      <c r="M490" s="30">
        <v>0</v>
      </c>
      <c r="N490" s="16" t="str">
        <f>IF(M490=0,"0",(O490*M490))</f>
        <v>0</v>
      </c>
      <c r="O490" s="16">
        <f>IF(W490=1,L490,((D490*G490/H490)-P490)/(1-V490)-S490-T490)</f>
        <v>484.18</v>
      </c>
      <c r="P490" s="16">
        <v>0</v>
      </c>
      <c r="Q490" s="16">
        <f>IF(U490=0,"0",O490*U490)</f>
        <v>162.08043238751935</v>
      </c>
      <c r="R490" s="17">
        <f>IF(U490=0,(((D490*G490/H490)-P490-S490-T490)/(1-V490)),(((D490*G490/H490)-P490-S490-T490)/(1-V490))-((D490*G490/H490)-P490-S490-T490)*U490/(1-V490))</f>
        <v>322.09956761248066</v>
      </c>
      <c r="S490" s="12">
        <v>0</v>
      </c>
      <c r="T490" s="12">
        <v>0</v>
      </c>
      <c r="U490" s="12">
        <v>0.334752431714485</v>
      </c>
      <c r="V490" s="12">
        <v>0</v>
      </c>
      <c r="W490" s="28">
        <f>IF(V490&gt;U490,1,V490)</f>
        <v>0</v>
      </c>
      <c r="X490" s="12">
        <v>1</v>
      </c>
      <c r="Y490" s="16">
        <v>0</v>
      </c>
      <c r="Z490" s="42" t="str">
        <f>IF(OR(W490=1,W490=0),"0",(Q490-N490))</f>
        <v>0</v>
      </c>
      <c r="AA490" s="53" t="s">
        <v>1439</v>
      </c>
      <c r="AB490" s="16" t="s">
        <v>1441</v>
      </c>
      <c r="AC490" s="16">
        <v>322.1</v>
      </c>
      <c r="AD490" s="16">
        <v>926.08</v>
      </c>
      <c r="AE490" s="16">
        <f>ROUND(AC490*100,0)</f>
        <v>32210</v>
      </c>
      <c r="AF490" s="16">
        <f>ROUND(AD490*100,0)</f>
        <v>92608</v>
      </c>
      <c r="AG490" s="19" t="str">
        <f>IF(AC490=AD490,"TAM",(CONCATENATE(AE490,"/",AF490)))</f>
        <v>32210/92608</v>
      </c>
      <c r="AH490" s="11" t="s">
        <v>50</v>
      </c>
      <c r="AI490" s="21" t="s">
        <v>50</v>
      </c>
      <c r="AJ490" s="21" t="s">
        <v>1440</v>
      </c>
      <c r="AK490" s="54" t="s">
        <v>50</v>
      </c>
      <c r="AL490" s="1" t="s">
        <v>50</v>
      </c>
    </row>
    <row r="491" spans="1:37" ht="41.25" customHeight="1">
      <c r="A491" s="43"/>
      <c r="B491" s="13"/>
      <c r="C491" s="13"/>
      <c r="D491" s="31"/>
      <c r="E491" s="34" t="s">
        <v>1438</v>
      </c>
      <c r="F491" s="14"/>
      <c r="G491" s="14"/>
      <c r="H491" s="14"/>
      <c r="I491" s="31"/>
      <c r="J491" s="31"/>
      <c r="K491" s="15"/>
      <c r="L491" s="15"/>
      <c r="M491" s="15"/>
      <c r="N491" s="15"/>
      <c r="O491" s="15"/>
      <c r="P491" s="14"/>
      <c r="Q491" s="14"/>
      <c r="R491" s="14"/>
      <c r="S491" s="14"/>
      <c r="T491" s="14"/>
      <c r="U491" s="14"/>
      <c r="V491" s="14"/>
      <c r="W491" s="14"/>
      <c r="X491" s="14"/>
      <c r="Y491" s="13"/>
      <c r="Z491" s="44"/>
      <c r="AA491" s="43"/>
      <c r="AB491" s="13"/>
      <c r="AC491" s="13"/>
      <c r="AD491" s="13"/>
      <c r="AE491" s="13"/>
      <c r="AF491" s="13"/>
      <c r="AG491" s="13"/>
      <c r="AH491" s="13"/>
      <c r="AI491" s="13"/>
      <c r="AJ491" s="13"/>
      <c r="AK491" s="44"/>
    </row>
    <row r="492" spans="1:38" ht="12.75" customHeight="1">
      <c r="A492" s="41">
        <v>128</v>
      </c>
      <c r="B492" s="10">
        <v>1041</v>
      </c>
      <c r="C492" s="10" t="s">
        <v>1442</v>
      </c>
      <c r="D492" s="16">
        <v>1195.51</v>
      </c>
      <c r="E492" s="20" t="s">
        <v>1443</v>
      </c>
      <c r="F492" s="20" t="s">
        <v>1444</v>
      </c>
      <c r="G492" s="12">
        <v>3</v>
      </c>
      <c r="H492" s="12">
        <v>14</v>
      </c>
      <c r="I492" s="16">
        <f>ROUND(G492,0)</f>
        <v>3</v>
      </c>
      <c r="J492" s="16">
        <f>ROUND(H492,0)</f>
        <v>14</v>
      </c>
      <c r="K492" s="18" t="str">
        <f>IF(I492=J492,"TAM",(CONCATENATE(G492,"/",H492)))</f>
        <v>3/14</v>
      </c>
      <c r="L492" s="29">
        <f>1195.51*3/14</f>
        <v>256.18071428571426</v>
      </c>
      <c r="M492" s="30">
        <v>0</v>
      </c>
      <c r="N492" s="16" t="str">
        <f>IF(M492=0,"0",(O492*M492))</f>
        <v>0</v>
      </c>
      <c r="O492" s="16">
        <f>IF(W492=1,L492,((D492*G492/H492)-P492)/(1-V492)-S492-T492)</f>
        <v>256.18071428571426</v>
      </c>
      <c r="P492" s="16">
        <v>0</v>
      </c>
      <c r="Q492" s="16">
        <f>IF(U492=0,"0",O492*U492)</f>
        <v>85.75711706549656</v>
      </c>
      <c r="R492" s="17">
        <f>IF(U492=0,(((D492*G492/H492)-P492-S492-T492)/(1-V492)),(((D492*G492/H492)-P492-S492-T492)/(1-V492))-((D492*G492/H492)-P492-S492-T492)*U492/(1-V492))</f>
        <v>170.4235972202177</v>
      </c>
      <c r="S492" s="12">
        <v>0</v>
      </c>
      <c r="T492" s="12">
        <v>0</v>
      </c>
      <c r="U492" s="12">
        <v>0.334752431714485</v>
      </c>
      <c r="V492" s="12">
        <v>0</v>
      </c>
      <c r="W492" s="28">
        <f>IF(V492&gt;U492,1,V492)</f>
        <v>0</v>
      </c>
      <c r="X492" s="12">
        <v>1</v>
      </c>
      <c r="Y492" s="16">
        <v>0</v>
      </c>
      <c r="Z492" s="42" t="str">
        <f>IF(OR(W492=1,W492=0),"0",(Q492-N492))</f>
        <v>0</v>
      </c>
      <c r="AA492" s="53" t="s">
        <v>1445</v>
      </c>
      <c r="AB492" s="16" t="s">
        <v>1447</v>
      </c>
      <c r="AC492" s="16">
        <v>170.43</v>
      </c>
      <c r="AD492" s="16">
        <v>1116.89</v>
      </c>
      <c r="AE492" s="16">
        <f>ROUND(AC492*100,0)</f>
        <v>17043</v>
      </c>
      <c r="AF492" s="16">
        <f>ROUND(AD492*100,0)</f>
        <v>111689</v>
      </c>
      <c r="AG492" s="19" t="str">
        <f>IF(AC492=AD492,"TAM",(CONCATENATE(AE492,"/",AF492)))</f>
        <v>17043/111689</v>
      </c>
      <c r="AH492" s="11" t="s">
        <v>50</v>
      </c>
      <c r="AI492" s="21" t="s">
        <v>50</v>
      </c>
      <c r="AJ492" s="21" t="s">
        <v>1446</v>
      </c>
      <c r="AK492" s="54" t="s">
        <v>50</v>
      </c>
      <c r="AL492" s="1" t="s">
        <v>50</v>
      </c>
    </row>
    <row r="493" spans="1:37" ht="12.75" customHeight="1">
      <c r="A493" s="43"/>
      <c r="B493" s="13"/>
      <c r="C493" s="13"/>
      <c r="D493" s="31"/>
      <c r="E493" s="14" t="s">
        <v>50</v>
      </c>
      <c r="F493" s="14"/>
      <c r="G493" s="14"/>
      <c r="H493" s="14"/>
      <c r="I493" s="31"/>
      <c r="J493" s="31"/>
      <c r="K493" s="15"/>
      <c r="L493" s="15"/>
      <c r="M493" s="15"/>
      <c r="N493" s="15"/>
      <c r="O493" s="15"/>
      <c r="P493" s="14"/>
      <c r="Q493" s="14"/>
      <c r="R493" s="14"/>
      <c r="S493" s="14"/>
      <c r="T493" s="14"/>
      <c r="U493" s="14"/>
      <c r="V493" s="14"/>
      <c r="W493" s="14"/>
      <c r="X493" s="14"/>
      <c r="Y493" s="13"/>
      <c r="Z493" s="44"/>
      <c r="AA493" s="43"/>
      <c r="AB493" s="13"/>
      <c r="AC493" s="13"/>
      <c r="AD493" s="13"/>
      <c r="AE493" s="13"/>
      <c r="AF493" s="13"/>
      <c r="AG493" s="13"/>
      <c r="AH493" s="13"/>
      <c r="AI493" s="13"/>
      <c r="AJ493" s="13"/>
      <c r="AK493" s="44"/>
    </row>
    <row r="494" spans="1:38" ht="12.75" customHeight="1">
      <c r="A494" s="41">
        <v>129</v>
      </c>
      <c r="B494" s="10">
        <v>1041</v>
      </c>
      <c r="C494" s="10" t="s">
        <v>1448</v>
      </c>
      <c r="D494" s="16">
        <v>1195.51</v>
      </c>
      <c r="E494" s="20" t="s">
        <v>1449</v>
      </c>
      <c r="F494" s="20" t="s">
        <v>1450</v>
      </c>
      <c r="G494" s="12">
        <v>11</v>
      </c>
      <c r="H494" s="12">
        <v>14</v>
      </c>
      <c r="I494" s="16">
        <f>ROUND(G494,0)</f>
        <v>11</v>
      </c>
      <c r="J494" s="16">
        <f>ROUND(H494,0)</f>
        <v>14</v>
      </c>
      <c r="K494" s="18" t="str">
        <f>IF(I494=J494,"TAM",(CONCATENATE(G494,"/",H494)))</f>
        <v>11/14</v>
      </c>
      <c r="L494" s="29">
        <f>1195.51*11/14</f>
        <v>939.3292857142857</v>
      </c>
      <c r="M494" s="30">
        <v>0</v>
      </c>
      <c r="N494" s="16" t="str">
        <f>IF(M494=0,"0",(O494*M494))</f>
        <v>0</v>
      </c>
      <c r="O494" s="16">
        <f>IF(W494=1,L494,((D494*G494/H494)-P494)/(1-V494)-S494-T494)</f>
        <v>939.3292857142858</v>
      </c>
      <c r="P494" s="16">
        <v>0</v>
      </c>
      <c r="Q494" s="16">
        <f>IF(U494=0,"0",O494*U494)</f>
        <v>314.4427625734874</v>
      </c>
      <c r="R494" s="17">
        <f>IF(U494=0,(((D494*G494/H494)-P494-S494-T494)/(1-V494)),(((D494*G494/H494)-P494-S494-T494)/(1-V494))-((D494*G494/H494)-P494-S494-T494)*U494/(1-V494))</f>
        <v>624.8865231407983</v>
      </c>
      <c r="S494" s="12">
        <v>0</v>
      </c>
      <c r="T494" s="12">
        <v>0</v>
      </c>
      <c r="U494" s="12">
        <v>0.334752431714485</v>
      </c>
      <c r="V494" s="12">
        <v>0</v>
      </c>
      <c r="W494" s="28">
        <f>IF(V494&gt;U494,1,V494)</f>
        <v>0</v>
      </c>
      <c r="X494" s="12">
        <v>1</v>
      </c>
      <c r="Y494" s="16">
        <v>0</v>
      </c>
      <c r="Z494" s="42" t="str">
        <f>IF(OR(W494=1,W494=0),"0",(Q494-N494))</f>
        <v>0</v>
      </c>
      <c r="AA494" s="53" t="s">
        <v>1451</v>
      </c>
      <c r="AB494" s="16" t="s">
        <v>1453</v>
      </c>
      <c r="AC494" s="16">
        <v>624.88</v>
      </c>
      <c r="AD494" s="16">
        <v>1116.89</v>
      </c>
      <c r="AE494" s="16">
        <f>ROUND(AC494*100,0)</f>
        <v>62488</v>
      </c>
      <c r="AF494" s="16">
        <f>ROUND(AD494*100,0)</f>
        <v>111689</v>
      </c>
      <c r="AG494" s="19" t="str">
        <f>IF(AC494=AD494,"TAM",(CONCATENATE(AE494,"/",AF494)))</f>
        <v>62488/111689</v>
      </c>
      <c r="AH494" s="11" t="s">
        <v>50</v>
      </c>
      <c r="AI494" s="21" t="s">
        <v>50</v>
      </c>
      <c r="AJ494" s="21" t="s">
        <v>1452</v>
      </c>
      <c r="AK494" s="54" t="s">
        <v>50</v>
      </c>
      <c r="AL494" s="1" t="s">
        <v>50</v>
      </c>
    </row>
    <row r="495" spans="1:37" ht="12.75" customHeight="1">
      <c r="A495" s="43"/>
      <c r="B495" s="13"/>
      <c r="C495" s="13"/>
      <c r="D495" s="31"/>
      <c r="E495" s="14" t="s">
        <v>50</v>
      </c>
      <c r="F495" s="14"/>
      <c r="G495" s="14"/>
      <c r="H495" s="14"/>
      <c r="I495" s="31"/>
      <c r="J495" s="31"/>
      <c r="K495" s="15"/>
      <c r="L495" s="15"/>
      <c r="M495" s="15"/>
      <c r="N495" s="15"/>
      <c r="O495" s="15"/>
      <c r="P495" s="14"/>
      <c r="Q495" s="14"/>
      <c r="R495" s="14"/>
      <c r="S495" s="14"/>
      <c r="T495" s="14"/>
      <c r="U495" s="14"/>
      <c r="V495" s="14"/>
      <c r="W495" s="14"/>
      <c r="X495" s="14"/>
      <c r="Y495" s="13"/>
      <c r="Z495" s="44"/>
      <c r="AA495" s="43"/>
      <c r="AB495" s="13"/>
      <c r="AC495" s="13"/>
      <c r="AD495" s="13"/>
      <c r="AE495" s="13"/>
      <c r="AF495" s="13"/>
      <c r="AG495" s="13"/>
      <c r="AH495" s="13"/>
      <c r="AI495" s="13"/>
      <c r="AJ495" s="13"/>
      <c r="AK495" s="44"/>
    </row>
    <row r="496" spans="1:38" ht="12.75" customHeight="1">
      <c r="A496" s="41">
        <v>154</v>
      </c>
      <c r="B496" s="10">
        <v>1049</v>
      </c>
      <c r="C496" s="10" t="s">
        <v>1454</v>
      </c>
      <c r="D496" s="16">
        <v>595.79</v>
      </c>
      <c r="E496" s="20" t="s">
        <v>1455</v>
      </c>
      <c r="F496" s="20" t="s">
        <v>1456</v>
      </c>
      <c r="G496" s="12">
        <v>1</v>
      </c>
      <c r="H496" s="12">
        <v>2</v>
      </c>
      <c r="I496" s="16">
        <f>ROUND(G496,0)</f>
        <v>1</v>
      </c>
      <c r="J496" s="16">
        <f>ROUND(H496,0)</f>
        <v>2</v>
      </c>
      <c r="K496" s="18" t="str">
        <f>IF(I496=J496,"TAM",(CONCATENATE(G496,"/",H496)))</f>
        <v>1/2</v>
      </c>
      <c r="L496" s="29">
        <f>595.79*1/2</f>
        <v>297.895</v>
      </c>
      <c r="M496" s="30">
        <v>0</v>
      </c>
      <c r="N496" s="16" t="str">
        <f>IF(M496=0,"0",(O496*M496))</f>
        <v>0</v>
      </c>
      <c r="O496" s="16">
        <f>IF(W496=1,L496,((D496*G496/H496)-P496)/(1-V496)-S496-T496)</f>
        <v>297.895</v>
      </c>
      <c r="P496" s="16">
        <v>0</v>
      </c>
      <c r="Q496" s="16">
        <f>IF(U496=0,"0",O496*U496)</f>
        <v>99.7210756455865</v>
      </c>
      <c r="R496" s="17">
        <f>IF(U496=0,(((D496*G496/H496)-P496-S496-T496)/(1-V496)),(((D496*G496/H496)-P496-S496-T496)/(1-V496))-((D496*G496/H496)-P496-S496-T496)*U496/(1-V496))</f>
        <v>198.1739243544135</v>
      </c>
      <c r="S496" s="12">
        <v>0</v>
      </c>
      <c r="T496" s="12">
        <v>0</v>
      </c>
      <c r="U496" s="12">
        <v>0.334752431714485</v>
      </c>
      <c r="V496" s="12">
        <v>0</v>
      </c>
      <c r="W496" s="28">
        <f>IF(V496&gt;U496,1,V496)</f>
        <v>0</v>
      </c>
      <c r="X496" s="12">
        <v>1</v>
      </c>
      <c r="Y496" s="16">
        <v>0</v>
      </c>
      <c r="Z496" s="42" t="str">
        <f>IF(OR(W496=1,W496=0),"0",(Q496-N496))</f>
        <v>0</v>
      </c>
      <c r="AA496" s="53" t="s">
        <v>1457</v>
      </c>
      <c r="AB496" s="16" t="s">
        <v>1459</v>
      </c>
      <c r="AC496" s="16">
        <v>160.79</v>
      </c>
      <c r="AD496" s="16">
        <v>1116.89</v>
      </c>
      <c r="AE496" s="16">
        <f>ROUND(AC496*100,0)</f>
        <v>16079</v>
      </c>
      <c r="AF496" s="16">
        <f>ROUND(AD496*100,0)</f>
        <v>111689</v>
      </c>
      <c r="AG496" s="19" t="str">
        <f>IF(AC496=AD496,"TAM",(CONCATENATE(AE496,"/",AF496)))</f>
        <v>16079/111689</v>
      </c>
      <c r="AH496" s="11" t="s">
        <v>50</v>
      </c>
      <c r="AI496" s="21" t="s">
        <v>50</v>
      </c>
      <c r="AJ496" s="21" t="s">
        <v>1458</v>
      </c>
      <c r="AK496" s="54" t="s">
        <v>50</v>
      </c>
      <c r="AL496" s="1" t="s">
        <v>50</v>
      </c>
    </row>
    <row r="497" spans="1:37" ht="12.75" customHeight="1">
      <c r="A497" s="43"/>
      <c r="B497" s="13"/>
      <c r="C497" s="13"/>
      <c r="D497" s="31"/>
      <c r="E497" s="14" t="s">
        <v>50</v>
      </c>
      <c r="F497" s="14"/>
      <c r="G497" s="14"/>
      <c r="H497" s="14"/>
      <c r="I497" s="31"/>
      <c r="J497" s="31"/>
      <c r="K497" s="15"/>
      <c r="L497" s="15"/>
      <c r="M497" s="15"/>
      <c r="N497" s="15"/>
      <c r="O497" s="15"/>
      <c r="P497" s="14"/>
      <c r="Q497" s="14"/>
      <c r="R497" s="14"/>
      <c r="S497" s="14"/>
      <c r="T497" s="14"/>
      <c r="U497" s="14"/>
      <c r="V497" s="14"/>
      <c r="W497" s="14"/>
      <c r="X497" s="14"/>
      <c r="Y497" s="13"/>
      <c r="Z497" s="44"/>
      <c r="AA497" s="43"/>
      <c r="AB497" s="13"/>
      <c r="AC497" s="13"/>
      <c r="AD497" s="13"/>
      <c r="AE497" s="13"/>
      <c r="AF497" s="13"/>
      <c r="AG497" s="13"/>
      <c r="AH497" s="13"/>
      <c r="AI497" s="13"/>
      <c r="AJ497" s="13"/>
      <c r="AK497" s="44"/>
    </row>
    <row r="498" spans="1:38" ht="12.75" customHeight="1">
      <c r="A498" s="41">
        <v>153</v>
      </c>
      <c r="B498" s="10">
        <v>1049</v>
      </c>
      <c r="C498" s="10" t="s">
        <v>1460</v>
      </c>
      <c r="D498" s="16">
        <v>595.79</v>
      </c>
      <c r="E498" s="20" t="s">
        <v>1461</v>
      </c>
      <c r="F498" s="20" t="s">
        <v>1462</v>
      </c>
      <c r="G498" s="12">
        <v>1</v>
      </c>
      <c r="H498" s="12">
        <v>2</v>
      </c>
      <c r="I498" s="16">
        <f>ROUND(G498,0)</f>
        <v>1</v>
      </c>
      <c r="J498" s="16">
        <f>ROUND(H498,0)</f>
        <v>2</v>
      </c>
      <c r="K498" s="18" t="str">
        <f>IF(I498=J498,"TAM",(CONCATENATE(G498,"/",H498)))</f>
        <v>1/2</v>
      </c>
      <c r="L498" s="29">
        <f>595.79*1/2</f>
        <v>297.895</v>
      </c>
      <c r="M498" s="30">
        <v>0</v>
      </c>
      <c r="N498" s="16" t="str">
        <f>IF(M498=0,"0",(O498*M498))</f>
        <v>0</v>
      </c>
      <c r="O498" s="16">
        <f>IF(W498=1,L498,((D498*G498/H498)-P498)/(1-V498)-S498-T498)</f>
        <v>297.895</v>
      </c>
      <c r="P498" s="16">
        <v>0</v>
      </c>
      <c r="Q498" s="16">
        <f>IF(U498=0,"0",O498*U498)</f>
        <v>99.7210756455865</v>
      </c>
      <c r="R498" s="17">
        <f>IF(U498=0,(((D498*G498/H498)-P498-S498-T498)/(1-V498)),(((D498*G498/H498)-P498-S498-T498)/(1-V498))-((D498*G498/H498)-P498-S498-T498)*U498/(1-V498))</f>
        <v>198.1739243544135</v>
      </c>
      <c r="S498" s="12">
        <v>0</v>
      </c>
      <c r="T498" s="12">
        <v>0</v>
      </c>
      <c r="U498" s="12">
        <v>0.334752431714485</v>
      </c>
      <c r="V498" s="12">
        <v>0</v>
      </c>
      <c r="W498" s="28">
        <f>IF(V498&gt;U498,1,V498)</f>
        <v>0</v>
      </c>
      <c r="X498" s="12">
        <v>1</v>
      </c>
      <c r="Y498" s="16">
        <v>0</v>
      </c>
      <c r="Z498" s="42" t="str">
        <f>IF(OR(W498=1,W498=0),"0",(Q498-N498))</f>
        <v>0</v>
      </c>
      <c r="AA498" s="53" t="s">
        <v>1463</v>
      </c>
      <c r="AB498" s="16" t="s">
        <v>1465</v>
      </c>
      <c r="AC498" s="16">
        <v>160.79</v>
      </c>
      <c r="AD498" s="16">
        <v>1116.89</v>
      </c>
      <c r="AE498" s="16">
        <f>ROUND(AC498*100,0)</f>
        <v>16079</v>
      </c>
      <c r="AF498" s="16">
        <f>ROUND(AD498*100,0)</f>
        <v>111689</v>
      </c>
      <c r="AG498" s="19" t="str">
        <f>IF(AC498=AD498,"TAM",(CONCATENATE(AE498,"/",AF498)))</f>
        <v>16079/111689</v>
      </c>
      <c r="AH498" s="11" t="s">
        <v>50</v>
      </c>
      <c r="AI498" s="21" t="s">
        <v>50</v>
      </c>
      <c r="AJ498" s="21" t="s">
        <v>1464</v>
      </c>
      <c r="AK498" s="54" t="s">
        <v>50</v>
      </c>
      <c r="AL498" s="1" t="s">
        <v>50</v>
      </c>
    </row>
    <row r="499" spans="1:37" ht="12.75" customHeight="1">
      <c r="A499" s="43"/>
      <c r="B499" s="13"/>
      <c r="C499" s="13"/>
      <c r="D499" s="31"/>
      <c r="E499" s="14" t="s">
        <v>50</v>
      </c>
      <c r="F499" s="14"/>
      <c r="G499" s="14"/>
      <c r="H499" s="14"/>
      <c r="I499" s="31"/>
      <c r="J499" s="31"/>
      <c r="K499" s="15"/>
      <c r="L499" s="15"/>
      <c r="M499" s="15"/>
      <c r="N499" s="15"/>
      <c r="O499" s="15"/>
      <c r="P499" s="14"/>
      <c r="Q499" s="14"/>
      <c r="R499" s="14"/>
      <c r="S499" s="14"/>
      <c r="T499" s="14"/>
      <c r="U499" s="14"/>
      <c r="V499" s="14"/>
      <c r="W499" s="14"/>
      <c r="X499" s="14"/>
      <c r="Y499" s="13"/>
      <c r="Z499" s="44"/>
      <c r="AA499" s="43"/>
      <c r="AB499" s="13"/>
      <c r="AC499" s="13"/>
      <c r="AD499" s="13"/>
      <c r="AE499" s="13"/>
      <c r="AF499" s="13"/>
      <c r="AG499" s="13"/>
      <c r="AH499" s="13"/>
      <c r="AI499" s="13"/>
      <c r="AJ499" s="13"/>
      <c r="AK499" s="44"/>
    </row>
    <row r="500" spans="1:38" ht="12.75" customHeight="1">
      <c r="A500" s="41">
        <v>144</v>
      </c>
      <c r="B500" s="10">
        <v>1046</v>
      </c>
      <c r="C500" s="10" t="s">
        <v>1466</v>
      </c>
      <c r="D500" s="16">
        <v>254.65</v>
      </c>
      <c r="E500" s="20" t="s">
        <v>1467</v>
      </c>
      <c r="F500" s="20" t="s">
        <v>1468</v>
      </c>
      <c r="G500" s="12">
        <v>1</v>
      </c>
      <c r="H500" s="12">
        <v>1</v>
      </c>
      <c r="I500" s="16">
        <f>ROUND(G500,0)</f>
        <v>1</v>
      </c>
      <c r="J500" s="16">
        <f>ROUND(H500,0)</f>
        <v>1</v>
      </c>
      <c r="K500" s="18" t="str">
        <f>IF(I500=J500,"TAM",(CONCATENATE(G500,"/",H500)))</f>
        <v>TAM</v>
      </c>
      <c r="L500" s="29">
        <f>254.65*1/1</f>
        <v>254.65</v>
      </c>
      <c r="M500" s="30">
        <v>0</v>
      </c>
      <c r="N500" s="16" t="str">
        <f>IF(M500=0,"0",(O500*M500))</f>
        <v>0</v>
      </c>
      <c r="O500" s="16">
        <f>IF(W500=1,L500,((D500*G500/H500)-P500)/(1-V500)-S500-T500)</f>
        <v>254.65</v>
      </c>
      <c r="P500" s="16">
        <v>0</v>
      </c>
      <c r="Q500" s="16">
        <f>IF(U500=0,"0",O500*U500)</f>
        <v>85.2447067360936</v>
      </c>
      <c r="R500" s="17">
        <f>IF(U500=0,(((D500*G500/H500)-P500-S500-T500)/(1-V500)),(((D500*G500/H500)-P500-S500-T500)/(1-V500))-((D500*G500/H500)-P500-S500-T500)*U500/(1-V500))</f>
        <v>169.4052932639064</v>
      </c>
      <c r="S500" s="12">
        <v>0</v>
      </c>
      <c r="T500" s="12">
        <v>0</v>
      </c>
      <c r="U500" s="12">
        <v>0.334752431714485</v>
      </c>
      <c r="V500" s="12">
        <v>0</v>
      </c>
      <c r="W500" s="28">
        <f>IF(V500&gt;U500,1,V500)</f>
        <v>0</v>
      </c>
      <c r="X500" s="12">
        <v>1</v>
      </c>
      <c r="Y500" s="16">
        <v>0</v>
      </c>
      <c r="Z500" s="42" t="str">
        <f>IF(OR(W500=1,W500=0),"0",(Q500-N500))</f>
        <v>0</v>
      </c>
      <c r="AA500" s="53" t="s">
        <v>1470</v>
      </c>
      <c r="AB500" s="16" t="s">
        <v>1472</v>
      </c>
      <c r="AC500" s="16">
        <v>169.41</v>
      </c>
      <c r="AD500" s="16">
        <v>552.01</v>
      </c>
      <c r="AE500" s="16">
        <f>ROUND(AC500*100,0)</f>
        <v>16941</v>
      </c>
      <c r="AF500" s="16">
        <f>ROUND(AD500*100,0)</f>
        <v>55201</v>
      </c>
      <c r="AG500" s="19" t="str">
        <f>IF(AC500=AD500,"TAM",(CONCATENATE(AE500,"/",AF500)))</f>
        <v>16941/55201</v>
      </c>
      <c r="AH500" s="11" t="s">
        <v>50</v>
      </c>
      <c r="AI500" s="21" t="s">
        <v>50</v>
      </c>
      <c r="AJ500" s="21" t="s">
        <v>1471</v>
      </c>
      <c r="AK500" s="54" t="s">
        <v>50</v>
      </c>
      <c r="AL500" s="1" t="s">
        <v>50</v>
      </c>
    </row>
    <row r="501" spans="1:37" ht="42" customHeight="1">
      <c r="A501" s="43"/>
      <c r="B501" s="13"/>
      <c r="C501" s="13"/>
      <c r="D501" s="31"/>
      <c r="E501" s="34" t="s">
        <v>1469</v>
      </c>
      <c r="F501" s="14"/>
      <c r="G501" s="14"/>
      <c r="H501" s="14"/>
      <c r="I501" s="31"/>
      <c r="J501" s="31"/>
      <c r="K501" s="15"/>
      <c r="L501" s="15"/>
      <c r="M501" s="15"/>
      <c r="N501" s="15"/>
      <c r="O501" s="15"/>
      <c r="P501" s="14"/>
      <c r="Q501" s="14"/>
      <c r="R501" s="14"/>
      <c r="S501" s="14"/>
      <c r="T501" s="14"/>
      <c r="U501" s="14"/>
      <c r="V501" s="14"/>
      <c r="W501" s="14"/>
      <c r="X501" s="14"/>
      <c r="Y501" s="13"/>
      <c r="Z501" s="44"/>
      <c r="AA501" s="43"/>
      <c r="AB501" s="13"/>
      <c r="AC501" s="13"/>
      <c r="AD501" s="13"/>
      <c r="AE501" s="13"/>
      <c r="AF501" s="13"/>
      <c r="AG501" s="13"/>
      <c r="AH501" s="13"/>
      <c r="AI501" s="13"/>
      <c r="AJ501" s="13"/>
      <c r="AK501" s="44"/>
    </row>
    <row r="502" spans="1:38" ht="12.75" customHeight="1">
      <c r="A502" s="41">
        <v>186</v>
      </c>
      <c r="B502" s="10">
        <v>1060</v>
      </c>
      <c r="C502" s="10" t="s">
        <v>1473</v>
      </c>
      <c r="D502" s="16">
        <v>298.34</v>
      </c>
      <c r="E502" s="20" t="s">
        <v>1474</v>
      </c>
      <c r="F502" s="20" t="s">
        <v>1475</v>
      </c>
      <c r="G502" s="12">
        <v>3</v>
      </c>
      <c r="H502" s="12">
        <v>16</v>
      </c>
      <c r="I502" s="16">
        <f>ROUND(G502,0)</f>
        <v>3</v>
      </c>
      <c r="J502" s="16">
        <f>ROUND(H502,0)</f>
        <v>16</v>
      </c>
      <c r="K502" s="18" t="str">
        <f>IF(I502=J502,"TAM",(CONCATENATE(G502,"/",H502)))</f>
        <v>3/16</v>
      </c>
      <c r="L502" s="29">
        <f>298.34*3/16</f>
        <v>55.93875</v>
      </c>
      <c r="M502" s="30">
        <v>0</v>
      </c>
      <c r="N502" s="16" t="str">
        <f>IF(M502=0,"0",(O502*M502))</f>
        <v>0</v>
      </c>
      <c r="O502" s="16">
        <f>IF(W502=1,L502,((D502*G502/H502)-P502)/(1-V502)-S502-T502)</f>
        <v>55.93875</v>
      </c>
      <c r="P502" s="16">
        <v>0</v>
      </c>
      <c r="Q502" s="16">
        <f>IF(U502=0,"0",O502*U502)</f>
        <v>18.725632589568647</v>
      </c>
      <c r="R502" s="17">
        <f>IF(U502=0,(((D502*G502/H502)-P502-S502-T502)/(1-V502)),(((D502*G502/H502)-P502-S502-T502)/(1-V502))-((D502*G502/H502)-P502-S502-T502)*U502/(1-V502))</f>
        <v>37.21311741043135</v>
      </c>
      <c r="S502" s="12">
        <v>0</v>
      </c>
      <c r="T502" s="12">
        <v>0</v>
      </c>
      <c r="U502" s="12">
        <v>0.334752431714485</v>
      </c>
      <c r="V502" s="12">
        <v>0</v>
      </c>
      <c r="W502" s="28">
        <f>IF(V502&gt;U502,1,V502)</f>
        <v>0</v>
      </c>
      <c r="X502" s="12">
        <v>1</v>
      </c>
      <c r="Y502" s="16">
        <v>0</v>
      </c>
      <c r="Z502" s="42" t="str">
        <f>IF(OR(W502=1,W502=0),"0",(Q502-N502))</f>
        <v>0</v>
      </c>
      <c r="AA502" s="53" t="s">
        <v>1476</v>
      </c>
      <c r="AB502" s="16" t="s">
        <v>1478</v>
      </c>
      <c r="AC502" s="16">
        <v>37.21</v>
      </c>
      <c r="AD502" s="16">
        <v>552.01</v>
      </c>
      <c r="AE502" s="16">
        <f>ROUND(AC502*100,0)</f>
        <v>3721</v>
      </c>
      <c r="AF502" s="16">
        <f>ROUND(AD502*100,0)</f>
        <v>55201</v>
      </c>
      <c r="AG502" s="19" t="str">
        <f>IF(AC502=AD502,"TAM",(CONCATENATE(AE502,"/",AF502)))</f>
        <v>3721/55201</v>
      </c>
      <c r="AH502" s="11" t="s">
        <v>50</v>
      </c>
      <c r="AI502" s="21" t="s">
        <v>50</v>
      </c>
      <c r="AJ502" s="21" t="s">
        <v>1477</v>
      </c>
      <c r="AK502" s="54" t="s">
        <v>50</v>
      </c>
      <c r="AL502" s="1" t="s">
        <v>50</v>
      </c>
    </row>
    <row r="503" spans="1:37" ht="12.75" customHeight="1">
      <c r="A503" s="43"/>
      <c r="B503" s="13"/>
      <c r="C503" s="13"/>
      <c r="D503" s="31"/>
      <c r="E503" s="14" t="s">
        <v>50</v>
      </c>
      <c r="F503" s="14"/>
      <c r="G503" s="14"/>
      <c r="H503" s="14"/>
      <c r="I503" s="31"/>
      <c r="J503" s="31"/>
      <c r="K503" s="15"/>
      <c r="L503" s="15"/>
      <c r="M503" s="15"/>
      <c r="N503" s="15"/>
      <c r="O503" s="15"/>
      <c r="P503" s="14"/>
      <c r="Q503" s="14"/>
      <c r="R503" s="14"/>
      <c r="S503" s="14"/>
      <c r="T503" s="14"/>
      <c r="U503" s="14"/>
      <c r="V503" s="14"/>
      <c r="W503" s="14"/>
      <c r="X503" s="14"/>
      <c r="Y503" s="13"/>
      <c r="Z503" s="44"/>
      <c r="AA503" s="43"/>
      <c r="AB503" s="13"/>
      <c r="AC503" s="13"/>
      <c r="AD503" s="13"/>
      <c r="AE503" s="13"/>
      <c r="AF503" s="13"/>
      <c r="AG503" s="13"/>
      <c r="AH503" s="13"/>
      <c r="AI503" s="13"/>
      <c r="AJ503" s="13"/>
      <c r="AK503" s="44"/>
    </row>
    <row r="504" spans="1:38" ht="12.75" customHeight="1">
      <c r="A504" s="41">
        <v>185</v>
      </c>
      <c r="B504" s="10">
        <v>1060</v>
      </c>
      <c r="C504" s="10" t="s">
        <v>1479</v>
      </c>
      <c r="D504" s="16">
        <v>298.34</v>
      </c>
      <c r="E504" s="20" t="s">
        <v>1480</v>
      </c>
      <c r="F504" s="20" t="s">
        <v>1481</v>
      </c>
      <c r="G504" s="12">
        <v>3</v>
      </c>
      <c r="H504" s="12">
        <v>16</v>
      </c>
      <c r="I504" s="16">
        <f>ROUND(G504,0)</f>
        <v>3</v>
      </c>
      <c r="J504" s="16">
        <f>ROUND(H504,0)</f>
        <v>16</v>
      </c>
      <c r="K504" s="18" t="str">
        <f>IF(I504=J504,"TAM",(CONCATENATE(G504,"/",H504)))</f>
        <v>3/16</v>
      </c>
      <c r="L504" s="29">
        <f>298.34*3/16</f>
        <v>55.93875</v>
      </c>
      <c r="M504" s="30">
        <v>0</v>
      </c>
      <c r="N504" s="16" t="str">
        <f>IF(M504=0,"0",(O504*M504))</f>
        <v>0</v>
      </c>
      <c r="O504" s="16">
        <f>IF(W504=1,L504,((D504*G504/H504)-P504)/(1-V504)-S504-T504)</f>
        <v>55.93875</v>
      </c>
      <c r="P504" s="16">
        <v>0</v>
      </c>
      <c r="Q504" s="16">
        <f>IF(U504=0,"0",O504*U504)</f>
        <v>18.725632589568647</v>
      </c>
      <c r="R504" s="17">
        <f>IF(U504=0,(((D504*G504/H504)-P504-S504-T504)/(1-V504)),(((D504*G504/H504)-P504-S504-T504)/(1-V504))-((D504*G504/H504)-P504-S504-T504)*U504/(1-V504))</f>
        <v>37.21311741043135</v>
      </c>
      <c r="S504" s="12">
        <v>0</v>
      </c>
      <c r="T504" s="12">
        <v>0</v>
      </c>
      <c r="U504" s="12">
        <v>0.334752431714485</v>
      </c>
      <c r="V504" s="12">
        <v>0</v>
      </c>
      <c r="W504" s="28">
        <f>IF(V504&gt;U504,1,V504)</f>
        <v>0</v>
      </c>
      <c r="X504" s="12">
        <v>1</v>
      </c>
      <c r="Y504" s="16">
        <v>0</v>
      </c>
      <c r="Z504" s="42" t="str">
        <f>IF(OR(W504=1,W504=0),"0",(Q504-N504))</f>
        <v>0</v>
      </c>
      <c r="AA504" s="53" t="s">
        <v>1482</v>
      </c>
      <c r="AB504" s="16" t="s">
        <v>1484</v>
      </c>
      <c r="AC504" s="16">
        <v>37.22</v>
      </c>
      <c r="AD504" s="16">
        <v>552.01</v>
      </c>
      <c r="AE504" s="16">
        <f>ROUND(AC504*100,0)</f>
        <v>3722</v>
      </c>
      <c r="AF504" s="16">
        <f>ROUND(AD504*100,0)</f>
        <v>55201</v>
      </c>
      <c r="AG504" s="19" t="str">
        <f>IF(AC504=AD504,"TAM",(CONCATENATE(AE504,"/",AF504)))</f>
        <v>3722/55201</v>
      </c>
      <c r="AH504" s="11" t="s">
        <v>50</v>
      </c>
      <c r="AI504" s="21" t="s">
        <v>50</v>
      </c>
      <c r="AJ504" s="21" t="s">
        <v>1483</v>
      </c>
      <c r="AK504" s="54" t="s">
        <v>50</v>
      </c>
      <c r="AL504" s="1" t="s">
        <v>50</v>
      </c>
    </row>
    <row r="505" spans="1:37" ht="12.75" customHeight="1">
      <c r="A505" s="43"/>
      <c r="B505" s="13"/>
      <c r="C505" s="13"/>
      <c r="D505" s="31"/>
      <c r="E505" s="14" t="s">
        <v>50</v>
      </c>
      <c r="F505" s="14"/>
      <c r="G505" s="14"/>
      <c r="H505" s="14"/>
      <c r="I505" s="31"/>
      <c r="J505" s="31"/>
      <c r="K505" s="15"/>
      <c r="L505" s="15"/>
      <c r="M505" s="15"/>
      <c r="N505" s="15"/>
      <c r="O505" s="15"/>
      <c r="P505" s="14"/>
      <c r="Q505" s="14"/>
      <c r="R505" s="14"/>
      <c r="S505" s="14"/>
      <c r="T505" s="14"/>
      <c r="U505" s="14"/>
      <c r="V505" s="14"/>
      <c r="W505" s="14"/>
      <c r="X505" s="14"/>
      <c r="Y505" s="13"/>
      <c r="Z505" s="44"/>
      <c r="AA505" s="43"/>
      <c r="AB505" s="13"/>
      <c r="AC505" s="13"/>
      <c r="AD505" s="13"/>
      <c r="AE505" s="13"/>
      <c r="AF505" s="13"/>
      <c r="AG505" s="13"/>
      <c r="AH505" s="13"/>
      <c r="AI505" s="13"/>
      <c r="AJ505" s="13"/>
      <c r="AK505" s="44"/>
    </row>
    <row r="506" spans="1:38" ht="12.75" customHeight="1">
      <c r="A506" s="41">
        <v>184</v>
      </c>
      <c r="B506" s="10">
        <v>1060</v>
      </c>
      <c r="C506" s="10" t="s">
        <v>1485</v>
      </c>
      <c r="D506" s="16">
        <v>298.34</v>
      </c>
      <c r="E506" s="20" t="s">
        <v>1486</v>
      </c>
      <c r="F506" s="20" t="s">
        <v>1487</v>
      </c>
      <c r="G506" s="12">
        <v>3</v>
      </c>
      <c r="H506" s="12">
        <v>16</v>
      </c>
      <c r="I506" s="16">
        <f>ROUND(G506,0)</f>
        <v>3</v>
      </c>
      <c r="J506" s="16">
        <f>ROUND(H506,0)</f>
        <v>16</v>
      </c>
      <c r="K506" s="18" t="str">
        <f>IF(I506=J506,"TAM",(CONCATENATE(G506,"/",H506)))</f>
        <v>3/16</v>
      </c>
      <c r="L506" s="29">
        <f>298.34*3/16</f>
        <v>55.93875</v>
      </c>
      <c r="M506" s="30">
        <v>0</v>
      </c>
      <c r="N506" s="16" t="str">
        <f>IF(M506=0,"0",(O506*M506))</f>
        <v>0</v>
      </c>
      <c r="O506" s="16">
        <f>IF(W506=1,L506,((D506*G506/H506)-P506)/(1-V506)-S506-T506)</f>
        <v>55.93875</v>
      </c>
      <c r="P506" s="16">
        <v>0</v>
      </c>
      <c r="Q506" s="16">
        <f>IF(U506=0,"0",O506*U506)</f>
        <v>18.725632589568647</v>
      </c>
      <c r="R506" s="17">
        <f>IF(U506=0,(((D506*G506/H506)-P506-S506-T506)/(1-V506)),(((D506*G506/H506)-P506-S506-T506)/(1-V506))-((D506*G506/H506)-P506-S506-T506)*U506/(1-V506))</f>
        <v>37.21311741043135</v>
      </c>
      <c r="S506" s="12">
        <v>0</v>
      </c>
      <c r="T506" s="12">
        <v>0</v>
      </c>
      <c r="U506" s="12">
        <v>0.334752431714485</v>
      </c>
      <c r="V506" s="12">
        <v>0</v>
      </c>
      <c r="W506" s="28">
        <f>IF(V506&gt;U506,1,V506)</f>
        <v>0</v>
      </c>
      <c r="X506" s="12">
        <v>1</v>
      </c>
      <c r="Y506" s="16">
        <v>0</v>
      </c>
      <c r="Z506" s="42" t="str">
        <f>IF(OR(W506=1,W506=0),"0",(Q506-N506))</f>
        <v>0</v>
      </c>
      <c r="AA506" s="53" t="s">
        <v>1488</v>
      </c>
      <c r="AB506" s="16" t="s">
        <v>1490</v>
      </c>
      <c r="AC506" s="16">
        <v>37.22</v>
      </c>
      <c r="AD506" s="16">
        <v>552.01</v>
      </c>
      <c r="AE506" s="16">
        <f>ROUND(AC506*100,0)</f>
        <v>3722</v>
      </c>
      <c r="AF506" s="16">
        <f>ROUND(AD506*100,0)</f>
        <v>55201</v>
      </c>
      <c r="AG506" s="19" t="str">
        <f>IF(AC506=AD506,"TAM",(CONCATENATE(AE506,"/",AF506)))</f>
        <v>3722/55201</v>
      </c>
      <c r="AH506" s="11" t="s">
        <v>50</v>
      </c>
      <c r="AI506" s="21" t="s">
        <v>50</v>
      </c>
      <c r="AJ506" s="21" t="s">
        <v>1489</v>
      </c>
      <c r="AK506" s="54" t="s">
        <v>50</v>
      </c>
      <c r="AL506" s="1" t="s">
        <v>50</v>
      </c>
    </row>
    <row r="507" spans="1:37" ht="12.75" customHeight="1">
      <c r="A507" s="43"/>
      <c r="B507" s="13"/>
      <c r="C507" s="13"/>
      <c r="D507" s="31"/>
      <c r="E507" s="14" t="s">
        <v>50</v>
      </c>
      <c r="F507" s="14"/>
      <c r="G507" s="14"/>
      <c r="H507" s="14"/>
      <c r="I507" s="31"/>
      <c r="J507" s="31"/>
      <c r="K507" s="15"/>
      <c r="L507" s="15"/>
      <c r="M507" s="15"/>
      <c r="N507" s="15"/>
      <c r="O507" s="15"/>
      <c r="P507" s="14"/>
      <c r="Q507" s="14"/>
      <c r="R507" s="14"/>
      <c r="S507" s="14"/>
      <c r="T507" s="14"/>
      <c r="U507" s="14"/>
      <c r="V507" s="14"/>
      <c r="W507" s="14"/>
      <c r="X507" s="14"/>
      <c r="Y507" s="13"/>
      <c r="Z507" s="44"/>
      <c r="AA507" s="43"/>
      <c r="AB507" s="13"/>
      <c r="AC507" s="13"/>
      <c r="AD507" s="13"/>
      <c r="AE507" s="13"/>
      <c r="AF507" s="13"/>
      <c r="AG507" s="13"/>
      <c r="AH507" s="13"/>
      <c r="AI507" s="13"/>
      <c r="AJ507" s="13"/>
      <c r="AK507" s="44"/>
    </row>
    <row r="508" spans="1:38" ht="12.75" customHeight="1">
      <c r="A508" s="41">
        <v>188</v>
      </c>
      <c r="B508" s="10">
        <v>1060</v>
      </c>
      <c r="C508" s="10" t="s">
        <v>1491</v>
      </c>
      <c r="D508" s="16">
        <v>298.34</v>
      </c>
      <c r="E508" s="20" t="s">
        <v>1492</v>
      </c>
      <c r="F508" s="20" t="s">
        <v>1493</v>
      </c>
      <c r="G508" s="12">
        <v>1</v>
      </c>
      <c r="H508" s="12">
        <v>4</v>
      </c>
      <c r="I508" s="16">
        <f>ROUND(G508,0)</f>
        <v>1</v>
      </c>
      <c r="J508" s="16">
        <f>ROUND(H508,0)</f>
        <v>4</v>
      </c>
      <c r="K508" s="18" t="str">
        <f>IF(I508=J508,"TAM",(CONCATENATE(G508,"/",H508)))</f>
        <v>1/4</v>
      </c>
      <c r="L508" s="29">
        <f>298.34*1/4</f>
        <v>74.585</v>
      </c>
      <c r="M508" s="30">
        <v>0</v>
      </c>
      <c r="N508" s="16" t="str">
        <f>IF(M508=0,"0",(O508*M508))</f>
        <v>0</v>
      </c>
      <c r="O508" s="16">
        <f>IF(W508=1,L508,((D508*G508/H508)-P508)/(1-V508)-S508-T508)</f>
        <v>74.585</v>
      </c>
      <c r="P508" s="16">
        <v>0</v>
      </c>
      <c r="Q508" s="16">
        <f>IF(U508=0,"0",O508*U508)</f>
        <v>24.967510119424862</v>
      </c>
      <c r="R508" s="17">
        <f>IF(U508=0,(((D508*G508/H508)-P508-S508-T508)/(1-V508)),(((D508*G508/H508)-P508-S508-T508)/(1-V508))-((D508*G508/H508)-P508-S508-T508)*U508/(1-V508))</f>
        <v>49.617489880575135</v>
      </c>
      <c r="S508" s="12">
        <v>0</v>
      </c>
      <c r="T508" s="12">
        <v>0</v>
      </c>
      <c r="U508" s="12">
        <v>0.334752431714485</v>
      </c>
      <c r="V508" s="12">
        <v>0</v>
      </c>
      <c r="W508" s="28">
        <f>IF(V508&gt;U508,1,V508)</f>
        <v>0</v>
      </c>
      <c r="X508" s="12">
        <v>1</v>
      </c>
      <c r="Y508" s="16">
        <v>0</v>
      </c>
      <c r="Z508" s="42" t="str">
        <f>IF(OR(W508=1,W508=0),"0",(Q508-N508))</f>
        <v>0</v>
      </c>
      <c r="AA508" s="53" t="s">
        <v>1495</v>
      </c>
      <c r="AB508" s="16" t="s">
        <v>1497</v>
      </c>
      <c r="AC508" s="16">
        <v>49.61</v>
      </c>
      <c r="AD508" s="16">
        <v>552.01</v>
      </c>
      <c r="AE508" s="16">
        <f>ROUND(AC508*100,0)</f>
        <v>4961</v>
      </c>
      <c r="AF508" s="16">
        <f>ROUND(AD508*100,0)</f>
        <v>55201</v>
      </c>
      <c r="AG508" s="19" t="str">
        <f>IF(AC508=AD508,"TAM",(CONCATENATE(AE508,"/",AF508)))</f>
        <v>4961/55201</v>
      </c>
      <c r="AH508" s="11" t="s">
        <v>50</v>
      </c>
      <c r="AI508" s="21" t="s">
        <v>50</v>
      </c>
      <c r="AJ508" s="21" t="s">
        <v>1496</v>
      </c>
      <c r="AK508" s="54" t="s">
        <v>50</v>
      </c>
      <c r="AL508" s="1" t="s">
        <v>50</v>
      </c>
    </row>
    <row r="509" spans="1:37" ht="33" customHeight="1">
      <c r="A509" s="43"/>
      <c r="B509" s="13"/>
      <c r="C509" s="13"/>
      <c r="D509" s="31"/>
      <c r="E509" s="34" t="s">
        <v>1494</v>
      </c>
      <c r="F509" s="14"/>
      <c r="G509" s="14"/>
      <c r="H509" s="14"/>
      <c r="I509" s="31"/>
      <c r="J509" s="31"/>
      <c r="K509" s="15"/>
      <c r="L509" s="15"/>
      <c r="M509" s="15"/>
      <c r="N509" s="15"/>
      <c r="O509" s="15"/>
      <c r="P509" s="14"/>
      <c r="Q509" s="14"/>
      <c r="R509" s="14"/>
      <c r="S509" s="14"/>
      <c r="T509" s="14"/>
      <c r="U509" s="14"/>
      <c r="V509" s="14"/>
      <c r="W509" s="14"/>
      <c r="X509" s="14"/>
      <c r="Y509" s="13"/>
      <c r="Z509" s="44"/>
      <c r="AA509" s="43"/>
      <c r="AB509" s="13"/>
      <c r="AC509" s="13"/>
      <c r="AD509" s="13"/>
      <c r="AE509" s="13"/>
      <c r="AF509" s="13"/>
      <c r="AG509" s="13"/>
      <c r="AH509" s="13"/>
      <c r="AI509" s="13"/>
      <c r="AJ509" s="13"/>
      <c r="AK509" s="44"/>
    </row>
    <row r="510" spans="1:38" ht="12.75" customHeight="1">
      <c r="A510" s="41">
        <v>187</v>
      </c>
      <c r="B510" s="10">
        <v>1060</v>
      </c>
      <c r="C510" s="10" t="s">
        <v>1498</v>
      </c>
      <c r="D510" s="16">
        <v>298.34</v>
      </c>
      <c r="E510" s="20" t="s">
        <v>1499</v>
      </c>
      <c r="F510" s="20" t="s">
        <v>1500</v>
      </c>
      <c r="G510" s="12">
        <v>3</v>
      </c>
      <c r="H510" s="12">
        <v>16</v>
      </c>
      <c r="I510" s="16">
        <f>ROUND(G510,0)</f>
        <v>3</v>
      </c>
      <c r="J510" s="16">
        <f>ROUND(H510,0)</f>
        <v>16</v>
      </c>
      <c r="K510" s="18" t="str">
        <f>IF(I510=J510,"TAM",(CONCATENATE(G510,"/",H510)))</f>
        <v>3/16</v>
      </c>
      <c r="L510" s="29">
        <f>298.34*3/16</f>
        <v>55.93875</v>
      </c>
      <c r="M510" s="30">
        <v>0</v>
      </c>
      <c r="N510" s="16" t="str">
        <f>IF(M510=0,"0",(O510*M510))</f>
        <v>0</v>
      </c>
      <c r="O510" s="16">
        <f>IF(W510=1,L510,((D510*G510/H510)-P510)/(1-V510)-S510-T510)</f>
        <v>55.93875</v>
      </c>
      <c r="P510" s="16">
        <v>0</v>
      </c>
      <c r="Q510" s="16">
        <f>IF(U510=0,"0",O510*U510)</f>
        <v>18.725632589568647</v>
      </c>
      <c r="R510" s="17">
        <f>IF(U510=0,(((D510*G510/H510)-P510-S510-T510)/(1-V510)),(((D510*G510/H510)-P510-S510-T510)/(1-V510))-((D510*G510/H510)-P510-S510-T510)*U510/(1-V510))</f>
        <v>37.21311741043135</v>
      </c>
      <c r="S510" s="12">
        <v>0</v>
      </c>
      <c r="T510" s="12">
        <v>0</v>
      </c>
      <c r="U510" s="12">
        <v>0.334752431714485</v>
      </c>
      <c r="V510" s="12">
        <v>0</v>
      </c>
      <c r="W510" s="28">
        <f>IF(V510&gt;U510,1,V510)</f>
        <v>0</v>
      </c>
      <c r="X510" s="12">
        <v>1</v>
      </c>
      <c r="Y510" s="16">
        <v>0</v>
      </c>
      <c r="Z510" s="42" t="str">
        <f>IF(OR(W510=1,W510=0),"0",(Q510-N510))</f>
        <v>0</v>
      </c>
      <c r="AA510" s="53" t="s">
        <v>1501</v>
      </c>
      <c r="AB510" s="16" t="s">
        <v>1503</v>
      </c>
      <c r="AC510" s="16">
        <v>37.21</v>
      </c>
      <c r="AD510" s="16">
        <v>552.01</v>
      </c>
      <c r="AE510" s="16">
        <f>ROUND(AC510*100,0)</f>
        <v>3721</v>
      </c>
      <c r="AF510" s="16">
        <f>ROUND(AD510*100,0)</f>
        <v>55201</v>
      </c>
      <c r="AG510" s="19" t="str">
        <f>IF(AC510=AD510,"TAM",(CONCATENATE(AE510,"/",AF510)))</f>
        <v>3721/55201</v>
      </c>
      <c r="AH510" s="11" t="s">
        <v>50</v>
      </c>
      <c r="AI510" s="21" t="s">
        <v>50</v>
      </c>
      <c r="AJ510" s="21" t="s">
        <v>1502</v>
      </c>
      <c r="AK510" s="54" t="s">
        <v>50</v>
      </c>
      <c r="AL510" s="1" t="s">
        <v>50</v>
      </c>
    </row>
    <row r="511" spans="1:37" ht="12.75" customHeight="1">
      <c r="A511" s="43"/>
      <c r="B511" s="13"/>
      <c r="C511" s="13"/>
      <c r="D511" s="31"/>
      <c r="E511" s="14" t="s">
        <v>50</v>
      </c>
      <c r="F511" s="14"/>
      <c r="G511" s="14"/>
      <c r="H511" s="14"/>
      <c r="I511" s="31"/>
      <c r="J511" s="31"/>
      <c r="K511" s="15"/>
      <c r="L511" s="15"/>
      <c r="M511" s="15"/>
      <c r="N511" s="15"/>
      <c r="O511" s="15"/>
      <c r="P511" s="14"/>
      <c r="Q511" s="14"/>
      <c r="R511" s="14"/>
      <c r="S511" s="14"/>
      <c r="T511" s="14"/>
      <c r="U511" s="14"/>
      <c r="V511" s="14"/>
      <c r="W511" s="14"/>
      <c r="X511" s="14"/>
      <c r="Y511" s="13"/>
      <c r="Z511" s="44"/>
      <c r="AA511" s="43"/>
      <c r="AB511" s="13"/>
      <c r="AC511" s="13"/>
      <c r="AD511" s="13"/>
      <c r="AE511" s="13"/>
      <c r="AF511" s="13"/>
      <c r="AG511" s="13"/>
      <c r="AH511" s="13"/>
      <c r="AI511" s="13"/>
      <c r="AJ511" s="13"/>
      <c r="AK511" s="44"/>
    </row>
    <row r="512" spans="1:38" ht="12.75" customHeight="1">
      <c r="A512" s="41">
        <v>193</v>
      </c>
      <c r="B512" s="10">
        <v>1062</v>
      </c>
      <c r="C512" s="10" t="s">
        <v>1504</v>
      </c>
      <c r="D512" s="16">
        <v>304.36</v>
      </c>
      <c r="E512" s="20" t="s">
        <v>1505</v>
      </c>
      <c r="F512" s="20" t="s">
        <v>1506</v>
      </c>
      <c r="G512" s="12">
        <v>1</v>
      </c>
      <c r="H512" s="12">
        <v>4</v>
      </c>
      <c r="I512" s="16">
        <f>ROUND(G512,0)</f>
        <v>1</v>
      </c>
      <c r="J512" s="16">
        <f>ROUND(H512,0)</f>
        <v>4</v>
      </c>
      <c r="K512" s="18" t="str">
        <f>IF(I512=J512,"TAM",(CONCATENATE(G512,"/",H512)))</f>
        <v>1/4</v>
      </c>
      <c r="L512" s="29">
        <f>304.36*1/4</f>
        <v>76.09</v>
      </c>
      <c r="M512" s="30">
        <v>0</v>
      </c>
      <c r="N512" s="16" t="str">
        <f>IF(M512=0,"0",(O512*M512))</f>
        <v>0</v>
      </c>
      <c r="O512" s="16">
        <f>IF(W512=1,L512,((D512*G512/H512)-P512)/(1-V512)-S512-T512)</f>
        <v>76.09</v>
      </c>
      <c r="P512" s="16">
        <v>0</v>
      </c>
      <c r="Q512" s="16">
        <f>IF(U512=0,"0",O512*U512)</f>
        <v>25.471312529155163</v>
      </c>
      <c r="R512" s="17">
        <f>IF(U512=0,(((D512*G512/H512)-P512-S512-T512)/(1-V512)),(((D512*G512/H512)-P512-S512-T512)/(1-V512))-((D512*G512/H512)-P512-S512-T512)*U512/(1-V512))</f>
        <v>50.61868747084484</v>
      </c>
      <c r="S512" s="12">
        <v>0</v>
      </c>
      <c r="T512" s="12">
        <v>0</v>
      </c>
      <c r="U512" s="12">
        <v>0.334752431714485</v>
      </c>
      <c r="V512" s="12">
        <v>0</v>
      </c>
      <c r="W512" s="28">
        <f>IF(V512&gt;U512,1,V512)</f>
        <v>0</v>
      </c>
      <c r="X512" s="12">
        <v>1</v>
      </c>
      <c r="Y512" s="16">
        <v>0</v>
      </c>
      <c r="Z512" s="42" t="str">
        <f>IF(OR(W512=1,W512=0),"0",(Q512-N512))</f>
        <v>0</v>
      </c>
      <c r="AA512" s="53" t="s">
        <v>1507</v>
      </c>
      <c r="AB512" s="16" t="s">
        <v>1509</v>
      </c>
      <c r="AC512" s="16">
        <v>44.57</v>
      </c>
      <c r="AD512" s="16">
        <v>552.01</v>
      </c>
      <c r="AE512" s="16">
        <f>ROUND(AC512*100,0)</f>
        <v>4457</v>
      </c>
      <c r="AF512" s="16">
        <f>ROUND(AD512*100,0)</f>
        <v>55201</v>
      </c>
      <c r="AG512" s="19" t="str">
        <f>IF(AC512=AD512,"TAM",(CONCATENATE(AE512,"/",AF512)))</f>
        <v>4457/55201</v>
      </c>
      <c r="AH512" s="11" t="s">
        <v>50</v>
      </c>
      <c r="AI512" s="21" t="s">
        <v>50</v>
      </c>
      <c r="AJ512" s="21" t="s">
        <v>1508</v>
      </c>
      <c r="AK512" s="54" t="s">
        <v>50</v>
      </c>
      <c r="AL512" s="1" t="s">
        <v>50</v>
      </c>
    </row>
    <row r="513" spans="1:37" ht="12.75" customHeight="1">
      <c r="A513" s="43"/>
      <c r="B513" s="13"/>
      <c r="C513" s="13"/>
      <c r="D513" s="31"/>
      <c r="E513" s="14" t="s">
        <v>50</v>
      </c>
      <c r="F513" s="14"/>
      <c r="G513" s="14"/>
      <c r="H513" s="14"/>
      <c r="I513" s="31"/>
      <c r="J513" s="31"/>
      <c r="K513" s="15"/>
      <c r="L513" s="15"/>
      <c r="M513" s="15"/>
      <c r="N513" s="15"/>
      <c r="O513" s="15"/>
      <c r="P513" s="14"/>
      <c r="Q513" s="14"/>
      <c r="R513" s="14"/>
      <c r="S513" s="14"/>
      <c r="T513" s="14"/>
      <c r="U513" s="14"/>
      <c r="V513" s="14"/>
      <c r="W513" s="14"/>
      <c r="X513" s="14"/>
      <c r="Y513" s="13"/>
      <c r="Z513" s="44"/>
      <c r="AA513" s="43"/>
      <c r="AB513" s="13"/>
      <c r="AC513" s="13"/>
      <c r="AD513" s="13"/>
      <c r="AE513" s="13"/>
      <c r="AF513" s="13"/>
      <c r="AG513" s="13"/>
      <c r="AH513" s="13"/>
      <c r="AI513" s="13"/>
      <c r="AJ513" s="13"/>
      <c r="AK513" s="44"/>
    </row>
    <row r="514" spans="1:38" ht="12.75" customHeight="1">
      <c r="A514" s="41">
        <v>195</v>
      </c>
      <c r="B514" s="10">
        <v>1062</v>
      </c>
      <c r="C514" s="10" t="s">
        <v>1510</v>
      </c>
      <c r="D514" s="16">
        <v>304.36</v>
      </c>
      <c r="E514" s="20" t="s">
        <v>1511</v>
      </c>
      <c r="F514" s="20" t="s">
        <v>1512</v>
      </c>
      <c r="G514" s="12">
        <v>1</v>
      </c>
      <c r="H514" s="12">
        <v>4</v>
      </c>
      <c r="I514" s="16">
        <f>ROUND(G514,0)</f>
        <v>1</v>
      </c>
      <c r="J514" s="16">
        <f>ROUND(H514,0)</f>
        <v>4</v>
      </c>
      <c r="K514" s="18" t="str">
        <f>IF(I514=J514,"TAM",(CONCATENATE(G514,"/",H514)))</f>
        <v>1/4</v>
      </c>
      <c r="L514" s="29">
        <f>304.36*1/4</f>
        <v>76.09</v>
      </c>
      <c r="M514" s="30">
        <v>0</v>
      </c>
      <c r="N514" s="16" t="str">
        <f>IF(M514=0,"0",(O514*M514))</f>
        <v>0</v>
      </c>
      <c r="O514" s="16">
        <f>IF(W514=1,L514,((D514*G514/H514)-P514)/(1-V514)-S514-T514)</f>
        <v>76.09</v>
      </c>
      <c r="P514" s="16">
        <v>0</v>
      </c>
      <c r="Q514" s="16">
        <f>IF(U514=0,"0",O514*U514)</f>
        <v>25.471312529155163</v>
      </c>
      <c r="R514" s="17">
        <f>IF(U514=0,(((D514*G514/H514)-P514-S514-T514)/(1-V514)),(((D514*G514/H514)-P514-S514-T514)/(1-V514))-((D514*G514/H514)-P514-S514-T514)*U514/(1-V514))</f>
        <v>50.61868747084484</v>
      </c>
      <c r="S514" s="12">
        <v>0</v>
      </c>
      <c r="T514" s="12">
        <v>0</v>
      </c>
      <c r="U514" s="12">
        <v>0.334752431714485</v>
      </c>
      <c r="V514" s="12">
        <v>0</v>
      </c>
      <c r="W514" s="28">
        <f>IF(V514&gt;U514,1,V514)</f>
        <v>0</v>
      </c>
      <c r="X514" s="12">
        <v>1</v>
      </c>
      <c r="Y514" s="16">
        <v>0</v>
      </c>
      <c r="Z514" s="42" t="str">
        <f>IF(OR(W514=1,W514=0),"0",(Q514-N514))</f>
        <v>0</v>
      </c>
      <c r="AA514" s="53" t="s">
        <v>1514</v>
      </c>
      <c r="AB514" s="16" t="s">
        <v>1516</v>
      </c>
      <c r="AC514" s="16">
        <v>44.57</v>
      </c>
      <c r="AD514" s="16">
        <v>552.01</v>
      </c>
      <c r="AE514" s="16">
        <f>ROUND(AC514*100,0)</f>
        <v>4457</v>
      </c>
      <c r="AF514" s="16">
        <f>ROUND(AD514*100,0)</f>
        <v>55201</v>
      </c>
      <c r="AG514" s="19" t="str">
        <f>IF(AC514=AD514,"TAM",(CONCATENATE(AE514,"/",AF514)))</f>
        <v>4457/55201</v>
      </c>
      <c r="AH514" s="11" t="s">
        <v>50</v>
      </c>
      <c r="AI514" s="21" t="s">
        <v>50</v>
      </c>
      <c r="AJ514" s="21" t="s">
        <v>1515</v>
      </c>
      <c r="AK514" s="54" t="s">
        <v>50</v>
      </c>
      <c r="AL514" s="1" t="s">
        <v>50</v>
      </c>
    </row>
    <row r="515" spans="1:37" ht="32.25" customHeight="1">
      <c r="A515" s="43"/>
      <c r="B515" s="13"/>
      <c r="C515" s="13"/>
      <c r="D515" s="31"/>
      <c r="E515" s="34" t="s">
        <v>1513</v>
      </c>
      <c r="F515" s="14"/>
      <c r="G515" s="14"/>
      <c r="H515" s="14"/>
      <c r="I515" s="31"/>
      <c r="J515" s="31"/>
      <c r="K515" s="15"/>
      <c r="L515" s="15"/>
      <c r="M515" s="15"/>
      <c r="N515" s="15"/>
      <c r="O515" s="15"/>
      <c r="P515" s="14"/>
      <c r="Q515" s="14"/>
      <c r="R515" s="14"/>
      <c r="S515" s="14"/>
      <c r="T515" s="14"/>
      <c r="U515" s="14"/>
      <c r="V515" s="14"/>
      <c r="W515" s="14"/>
      <c r="X515" s="14"/>
      <c r="Y515" s="13"/>
      <c r="Z515" s="44"/>
      <c r="AA515" s="43"/>
      <c r="AB515" s="13"/>
      <c r="AC515" s="13"/>
      <c r="AD515" s="13"/>
      <c r="AE515" s="13"/>
      <c r="AF515" s="13"/>
      <c r="AG515" s="13"/>
      <c r="AH515" s="13"/>
      <c r="AI515" s="13"/>
      <c r="AJ515" s="13"/>
      <c r="AK515" s="44"/>
    </row>
    <row r="516" spans="1:38" ht="12.75" customHeight="1">
      <c r="A516" s="41">
        <v>199</v>
      </c>
      <c r="B516" s="10">
        <v>1062</v>
      </c>
      <c r="C516" s="10" t="s">
        <v>1517</v>
      </c>
      <c r="D516" s="16">
        <v>304.36</v>
      </c>
      <c r="E516" s="20" t="s">
        <v>1518</v>
      </c>
      <c r="F516" s="20" t="s">
        <v>1519</v>
      </c>
      <c r="G516" s="12">
        <v>1</v>
      </c>
      <c r="H516" s="12">
        <v>4</v>
      </c>
      <c r="I516" s="16">
        <f>ROUND(G516,0)</f>
        <v>1</v>
      </c>
      <c r="J516" s="16">
        <f>ROUND(H516,0)</f>
        <v>4</v>
      </c>
      <c r="K516" s="18" t="str">
        <f>IF(I516=J516,"TAM",(CONCATENATE(G516,"/",H516)))</f>
        <v>1/4</v>
      </c>
      <c r="L516" s="29">
        <f>304.36*1/4</f>
        <v>76.09</v>
      </c>
      <c r="M516" s="30">
        <v>0</v>
      </c>
      <c r="N516" s="16" t="str">
        <f>IF(M516=0,"0",(O516*M516))</f>
        <v>0</v>
      </c>
      <c r="O516" s="16">
        <f>IF(W516=1,L516,((D516*G516/H516)-P516)/(1-V516)-S516-T516)</f>
        <v>76.09</v>
      </c>
      <c r="P516" s="16">
        <v>0</v>
      </c>
      <c r="Q516" s="16">
        <f>IF(U516=0,"0",O516*U516)</f>
        <v>25.471312529155163</v>
      </c>
      <c r="R516" s="17">
        <f>IF(U516=0,(((D516*G516/H516)-P516-S516-T516)/(1-V516)),(((D516*G516/H516)-P516-S516-T516)/(1-V516))-((D516*G516/H516)-P516-S516-T516)*U516/(1-V516))</f>
        <v>50.61868747084484</v>
      </c>
      <c r="S516" s="12">
        <v>0</v>
      </c>
      <c r="T516" s="12">
        <v>0</v>
      </c>
      <c r="U516" s="12">
        <v>0.334752431714485</v>
      </c>
      <c r="V516" s="12">
        <v>0</v>
      </c>
      <c r="W516" s="28">
        <f>IF(V516&gt;U516,1,V516)</f>
        <v>0</v>
      </c>
      <c r="X516" s="12">
        <v>1</v>
      </c>
      <c r="Y516" s="16">
        <v>0</v>
      </c>
      <c r="Z516" s="42" t="str">
        <f>IF(OR(W516=1,W516=0),"0",(Q516-N516))</f>
        <v>0</v>
      </c>
      <c r="AA516" s="53" t="s">
        <v>1521</v>
      </c>
      <c r="AB516" s="16" t="s">
        <v>1523</v>
      </c>
      <c r="AC516" s="16">
        <v>44.55</v>
      </c>
      <c r="AD516" s="16">
        <v>552.01</v>
      </c>
      <c r="AE516" s="16">
        <f>ROUND(AC516*100,0)</f>
        <v>4455</v>
      </c>
      <c r="AF516" s="16">
        <f>ROUND(AD516*100,0)</f>
        <v>55201</v>
      </c>
      <c r="AG516" s="19" t="str">
        <f>IF(AC516=AD516,"TAM",(CONCATENATE(AE516,"/",AF516)))</f>
        <v>4455/55201</v>
      </c>
      <c r="AH516" s="11" t="s">
        <v>50</v>
      </c>
      <c r="AI516" s="21" t="s">
        <v>50</v>
      </c>
      <c r="AJ516" s="21" t="s">
        <v>1522</v>
      </c>
      <c r="AK516" s="54" t="s">
        <v>50</v>
      </c>
      <c r="AL516" s="1" t="s">
        <v>50</v>
      </c>
    </row>
    <row r="517" spans="1:37" ht="32.25" customHeight="1">
      <c r="A517" s="43"/>
      <c r="B517" s="13"/>
      <c r="C517" s="13"/>
      <c r="D517" s="31"/>
      <c r="E517" s="34" t="s">
        <v>1520</v>
      </c>
      <c r="F517" s="14"/>
      <c r="G517" s="14"/>
      <c r="H517" s="14"/>
      <c r="I517" s="31"/>
      <c r="J517" s="31"/>
      <c r="K517" s="15"/>
      <c r="L517" s="15"/>
      <c r="M517" s="15"/>
      <c r="N517" s="15"/>
      <c r="O517" s="15"/>
      <c r="P517" s="14"/>
      <c r="Q517" s="14"/>
      <c r="R517" s="14"/>
      <c r="S517" s="14"/>
      <c r="T517" s="14"/>
      <c r="U517" s="14"/>
      <c r="V517" s="14"/>
      <c r="W517" s="14"/>
      <c r="X517" s="14"/>
      <c r="Y517" s="13"/>
      <c r="Z517" s="44"/>
      <c r="AA517" s="43"/>
      <c r="AB517" s="13"/>
      <c r="AC517" s="13"/>
      <c r="AD517" s="13"/>
      <c r="AE517" s="13"/>
      <c r="AF517" s="13"/>
      <c r="AG517" s="13"/>
      <c r="AH517" s="13"/>
      <c r="AI517" s="13"/>
      <c r="AJ517" s="13"/>
      <c r="AK517" s="44"/>
    </row>
    <row r="518" spans="1:38" ht="12.75" customHeight="1">
      <c r="A518" s="41">
        <v>194</v>
      </c>
      <c r="B518" s="10">
        <v>1062</v>
      </c>
      <c r="C518" s="10" t="s">
        <v>1524</v>
      </c>
      <c r="D518" s="16">
        <v>304.36</v>
      </c>
      <c r="E518" s="20" t="s">
        <v>1525</v>
      </c>
      <c r="F518" s="20" t="s">
        <v>1526</v>
      </c>
      <c r="G518" s="12">
        <v>1</v>
      </c>
      <c r="H518" s="12">
        <v>4</v>
      </c>
      <c r="I518" s="16">
        <f>ROUND(G518,0)</f>
        <v>1</v>
      </c>
      <c r="J518" s="16">
        <f>ROUND(H518,0)</f>
        <v>4</v>
      </c>
      <c r="K518" s="18" t="str">
        <f>IF(I518=J518,"TAM",(CONCATENATE(G518,"/",H518)))</f>
        <v>1/4</v>
      </c>
      <c r="L518" s="29">
        <f>304.36*1/4</f>
        <v>76.09</v>
      </c>
      <c r="M518" s="30">
        <v>0</v>
      </c>
      <c r="N518" s="16" t="str">
        <f>IF(M518=0,"0",(O518*M518))</f>
        <v>0</v>
      </c>
      <c r="O518" s="16">
        <f>IF(W518=1,L518,((D518*G518/H518)-P518)/(1-V518)-S518-T518)</f>
        <v>76.09</v>
      </c>
      <c r="P518" s="16">
        <v>0</v>
      </c>
      <c r="Q518" s="16">
        <f>IF(U518=0,"0",O518*U518)</f>
        <v>25.471312529155163</v>
      </c>
      <c r="R518" s="17">
        <f>IF(U518=0,(((D518*G518/H518)-P518-S518-T518)/(1-V518)),(((D518*G518/H518)-P518-S518-T518)/(1-V518))-((D518*G518/H518)-P518-S518-T518)*U518/(1-V518))</f>
        <v>50.61868747084484</v>
      </c>
      <c r="S518" s="12">
        <v>0</v>
      </c>
      <c r="T518" s="12">
        <v>0</v>
      </c>
      <c r="U518" s="12">
        <v>0.334752431714485</v>
      </c>
      <c r="V518" s="12">
        <v>0</v>
      </c>
      <c r="W518" s="28">
        <f>IF(V518&gt;U518,1,V518)</f>
        <v>0</v>
      </c>
      <c r="X518" s="12">
        <v>1</v>
      </c>
      <c r="Y518" s="16">
        <v>0</v>
      </c>
      <c r="Z518" s="42" t="str">
        <f>IF(OR(W518=1,W518=0),"0",(Q518-N518))</f>
        <v>0</v>
      </c>
      <c r="AA518" s="53" t="s">
        <v>1527</v>
      </c>
      <c r="AB518" s="16" t="s">
        <v>1529</v>
      </c>
      <c r="AC518" s="16">
        <v>44.57</v>
      </c>
      <c r="AD518" s="16">
        <v>552.01</v>
      </c>
      <c r="AE518" s="16">
        <f>ROUND(AC518*100,0)</f>
        <v>4457</v>
      </c>
      <c r="AF518" s="16">
        <f>ROUND(AD518*100,0)</f>
        <v>55201</v>
      </c>
      <c r="AG518" s="19" t="str">
        <f>IF(AC518=AD518,"TAM",(CONCATENATE(AE518,"/",AF518)))</f>
        <v>4457/55201</v>
      </c>
      <c r="AH518" s="11" t="s">
        <v>50</v>
      </c>
      <c r="AI518" s="21" t="s">
        <v>50</v>
      </c>
      <c r="AJ518" s="21" t="s">
        <v>1528</v>
      </c>
      <c r="AK518" s="54" t="s">
        <v>50</v>
      </c>
      <c r="AL518" s="1" t="s">
        <v>50</v>
      </c>
    </row>
    <row r="519" spans="1:37" ht="12.75" customHeight="1">
      <c r="A519" s="43"/>
      <c r="B519" s="13"/>
      <c r="C519" s="13"/>
      <c r="D519" s="31"/>
      <c r="E519" s="14" t="s">
        <v>50</v>
      </c>
      <c r="F519" s="14"/>
      <c r="G519" s="14"/>
      <c r="H519" s="14"/>
      <c r="I519" s="31"/>
      <c r="J519" s="31"/>
      <c r="K519" s="15"/>
      <c r="L519" s="15"/>
      <c r="M519" s="15"/>
      <c r="N519" s="15"/>
      <c r="O519" s="15"/>
      <c r="P519" s="14"/>
      <c r="Q519" s="14"/>
      <c r="R519" s="14"/>
      <c r="S519" s="14"/>
      <c r="T519" s="14"/>
      <c r="U519" s="14"/>
      <c r="V519" s="14"/>
      <c r="W519" s="14"/>
      <c r="X519" s="14"/>
      <c r="Y519" s="13"/>
      <c r="Z519" s="44"/>
      <c r="AA519" s="43"/>
      <c r="AB519" s="13"/>
      <c r="AC519" s="13"/>
      <c r="AD519" s="13"/>
      <c r="AE519" s="13"/>
      <c r="AF519" s="13"/>
      <c r="AG519" s="13"/>
      <c r="AH519" s="13"/>
      <c r="AI519" s="13"/>
      <c r="AJ519" s="13"/>
      <c r="AK519" s="44"/>
    </row>
    <row r="520" spans="1:38" ht="12.75" customHeight="1">
      <c r="A520" s="41">
        <v>461</v>
      </c>
      <c r="B520" s="10">
        <v>1141</v>
      </c>
      <c r="C520" s="10" t="s">
        <v>1530</v>
      </c>
      <c r="D520" s="16">
        <v>1230.41</v>
      </c>
      <c r="E520" s="20" t="s">
        <v>1531</v>
      </c>
      <c r="F520" s="20" t="s">
        <v>1532</v>
      </c>
      <c r="G520" s="12">
        <v>1</v>
      </c>
      <c r="H520" s="12">
        <v>1</v>
      </c>
      <c r="I520" s="16">
        <f>ROUND(G520,0)</f>
        <v>1</v>
      </c>
      <c r="J520" s="16">
        <f>ROUND(H520,0)</f>
        <v>1</v>
      </c>
      <c r="K520" s="18" t="str">
        <f>IF(I520=J520,"TAM",(CONCATENATE(G520,"/",H520)))</f>
        <v>TAM</v>
      </c>
      <c r="L520" s="29">
        <f>1230.41*1/1</f>
        <v>1230.41</v>
      </c>
      <c r="M520" s="30">
        <v>0</v>
      </c>
      <c r="N520" s="16" t="str">
        <f>IF(M520=0,"0",(O520*M520))</f>
        <v>0</v>
      </c>
      <c r="O520" s="16">
        <f>IF(W520=1,L520,((D520*G520/H520)-P520)/(1-V520)-S520-T520)</f>
        <v>1230.41</v>
      </c>
      <c r="P520" s="16">
        <v>0</v>
      </c>
      <c r="Q520" s="16">
        <f>IF(U520=0,"0",O520*U520)</f>
        <v>411.88273950581953</v>
      </c>
      <c r="R520" s="17">
        <f>IF(U520=0,(((D520*G520/H520)-P520-S520-T520)/(1-V520)),(((D520*G520/H520)-P520-S520-T520)/(1-V520))-((D520*G520/H520)-P520-S520-T520)*U520/(1-V520))</f>
        <v>818.5272604941806</v>
      </c>
      <c r="S520" s="12">
        <v>0</v>
      </c>
      <c r="T520" s="12">
        <v>0</v>
      </c>
      <c r="U520" s="12">
        <v>0.334752431714485</v>
      </c>
      <c r="V520" s="12">
        <v>0</v>
      </c>
      <c r="W520" s="28">
        <f>IF(V520&gt;U520,1,V520)</f>
        <v>0</v>
      </c>
      <c r="X520" s="12">
        <v>1</v>
      </c>
      <c r="Y520" s="16">
        <v>0</v>
      </c>
      <c r="Z520" s="42" t="str">
        <f>IF(OR(W520=1,W520=0),"0",(Q520-N520))</f>
        <v>0</v>
      </c>
      <c r="AA520" s="53" t="s">
        <v>1533</v>
      </c>
      <c r="AB520" s="16" t="s">
        <v>1535</v>
      </c>
      <c r="AC520" s="16">
        <v>5.87</v>
      </c>
      <c r="AD520" s="16">
        <v>552.01</v>
      </c>
      <c r="AE520" s="16">
        <f>ROUND(AC520*100,0)</f>
        <v>587</v>
      </c>
      <c r="AF520" s="16">
        <f>ROUND(AD520*100,0)</f>
        <v>55201</v>
      </c>
      <c r="AG520" s="19" t="str">
        <f>IF(AC520=AD520,"TAM",(CONCATENATE(AE520,"/",AF520)))</f>
        <v>587/55201</v>
      </c>
      <c r="AH520" s="11" t="s">
        <v>50</v>
      </c>
      <c r="AI520" s="21" t="s">
        <v>50</v>
      </c>
      <c r="AJ520" s="21" t="s">
        <v>1534</v>
      </c>
      <c r="AK520" s="54" t="s">
        <v>50</v>
      </c>
      <c r="AL520" s="1" t="s">
        <v>50</v>
      </c>
    </row>
    <row r="521" spans="1:37" ht="12.75" customHeight="1">
      <c r="A521" s="43"/>
      <c r="B521" s="13"/>
      <c r="C521" s="13"/>
      <c r="D521" s="31"/>
      <c r="E521" s="14" t="s">
        <v>50</v>
      </c>
      <c r="F521" s="14"/>
      <c r="G521" s="14"/>
      <c r="H521" s="14"/>
      <c r="I521" s="31"/>
      <c r="J521" s="31"/>
      <c r="K521" s="15"/>
      <c r="L521" s="15"/>
      <c r="M521" s="15"/>
      <c r="N521" s="15"/>
      <c r="O521" s="15"/>
      <c r="P521" s="14"/>
      <c r="Q521" s="14"/>
      <c r="R521" s="14"/>
      <c r="S521" s="14"/>
      <c r="T521" s="14"/>
      <c r="U521" s="14"/>
      <c r="V521" s="14"/>
      <c r="W521" s="14"/>
      <c r="X521" s="14"/>
      <c r="Y521" s="13"/>
      <c r="Z521" s="44"/>
      <c r="AA521" s="43"/>
      <c r="AB521" s="13"/>
      <c r="AC521" s="13"/>
      <c r="AD521" s="13"/>
      <c r="AE521" s="13"/>
      <c r="AF521" s="13"/>
      <c r="AG521" s="13"/>
      <c r="AH521" s="13"/>
      <c r="AI521" s="13"/>
      <c r="AJ521" s="13"/>
      <c r="AK521" s="44"/>
    </row>
    <row r="522" spans="1:38" ht="12.75" customHeight="1">
      <c r="A522" s="41">
        <v>159</v>
      </c>
      <c r="B522" s="10">
        <v>1051</v>
      </c>
      <c r="C522" s="10" t="s">
        <v>1536</v>
      </c>
      <c r="D522" s="16">
        <v>723.92</v>
      </c>
      <c r="E522" s="20" t="s">
        <v>1537</v>
      </c>
      <c r="F522" s="20" t="s">
        <v>1538</v>
      </c>
      <c r="G522" s="12">
        <v>1</v>
      </c>
      <c r="H522" s="12">
        <v>1</v>
      </c>
      <c r="I522" s="16">
        <f>ROUND(G522,0)</f>
        <v>1</v>
      </c>
      <c r="J522" s="16">
        <f>ROUND(H522,0)</f>
        <v>1</v>
      </c>
      <c r="K522" s="18" t="str">
        <f>IF(I522=J522,"TAM",(CONCATENATE(G522,"/",H522)))</f>
        <v>TAM</v>
      </c>
      <c r="L522" s="29">
        <f>723.92*1/1</f>
        <v>723.92</v>
      </c>
      <c r="M522" s="30">
        <v>0</v>
      </c>
      <c r="N522" s="16" t="str">
        <f>IF(M522=0,"0",(O522*M522))</f>
        <v>0</v>
      </c>
      <c r="O522" s="16">
        <f>IF(W522=1,L522,((D522*G522/H522)-P522)/(1-V522)-S522-T522)</f>
        <v>723.92</v>
      </c>
      <c r="P522" s="16">
        <v>0</v>
      </c>
      <c r="Q522" s="16">
        <f>IF(U522=0,"0",O522*U522)</f>
        <v>242.33398036674996</v>
      </c>
      <c r="R522" s="17">
        <f>IF(U522=0,(((D522*G522/H522)-P522-S522-T522)/(1-V522)),(((D522*G522/H522)-P522-S522-T522)/(1-V522))-((D522*G522/H522)-P522-S522-T522)*U522/(1-V522))</f>
        <v>481.58601963325</v>
      </c>
      <c r="S522" s="12">
        <v>0</v>
      </c>
      <c r="T522" s="12">
        <v>0</v>
      </c>
      <c r="U522" s="12">
        <v>0.334752431714485</v>
      </c>
      <c r="V522" s="12">
        <v>0</v>
      </c>
      <c r="W522" s="28">
        <f>IF(V522&gt;U522,1,V522)</f>
        <v>0</v>
      </c>
      <c r="X522" s="12">
        <v>1</v>
      </c>
      <c r="Y522" s="16">
        <v>0</v>
      </c>
      <c r="Z522" s="42" t="str">
        <f>IF(OR(W522=1,W522=0),"0",(Q522-N522))</f>
        <v>0</v>
      </c>
      <c r="AA522" s="53" t="s">
        <v>1539</v>
      </c>
      <c r="AB522" s="16" t="s">
        <v>1541</v>
      </c>
      <c r="AC522" s="16">
        <v>481.59</v>
      </c>
      <c r="AD522" s="16">
        <v>481.59</v>
      </c>
      <c r="AE522" s="16">
        <f>ROUND(AC522*100,0)</f>
        <v>48159</v>
      </c>
      <c r="AF522" s="16">
        <f>ROUND(AD522*100,0)</f>
        <v>48159</v>
      </c>
      <c r="AG522" s="19" t="str">
        <f>IF(AC522=AD522,"TAM",(CONCATENATE(AE522,"/",AF522)))</f>
        <v>TAM</v>
      </c>
      <c r="AH522" s="11" t="s">
        <v>50</v>
      </c>
      <c r="AI522" s="21" t="s">
        <v>50</v>
      </c>
      <c r="AJ522" s="21" t="s">
        <v>1540</v>
      </c>
      <c r="AK522" s="54" t="s">
        <v>50</v>
      </c>
      <c r="AL522" s="1" t="s">
        <v>50</v>
      </c>
    </row>
    <row r="523" spans="1:37" ht="12.75" customHeight="1">
      <c r="A523" s="43"/>
      <c r="B523" s="13"/>
      <c r="C523" s="13"/>
      <c r="D523" s="31"/>
      <c r="E523" s="14" t="s">
        <v>50</v>
      </c>
      <c r="F523" s="14"/>
      <c r="G523" s="14"/>
      <c r="H523" s="14"/>
      <c r="I523" s="31"/>
      <c r="J523" s="31"/>
      <c r="K523" s="15"/>
      <c r="L523" s="15"/>
      <c r="M523" s="15"/>
      <c r="N523" s="15"/>
      <c r="O523" s="15"/>
      <c r="P523" s="14"/>
      <c r="Q523" s="14"/>
      <c r="R523" s="14"/>
      <c r="S523" s="14"/>
      <c r="T523" s="14"/>
      <c r="U523" s="14"/>
      <c r="V523" s="14"/>
      <c r="W523" s="14"/>
      <c r="X523" s="14"/>
      <c r="Y523" s="13"/>
      <c r="Z523" s="44"/>
      <c r="AA523" s="43"/>
      <c r="AB523" s="13"/>
      <c r="AC523" s="13"/>
      <c r="AD523" s="13"/>
      <c r="AE523" s="13"/>
      <c r="AF523" s="13"/>
      <c r="AG523" s="13"/>
      <c r="AH523" s="13"/>
      <c r="AI523" s="13"/>
      <c r="AJ523" s="13"/>
      <c r="AK523" s="44"/>
    </row>
    <row r="524" spans="1:38" ht="12.75" customHeight="1">
      <c r="A524" s="41">
        <v>155</v>
      </c>
      <c r="B524" s="10">
        <v>1050</v>
      </c>
      <c r="C524" s="10" t="s">
        <v>1542</v>
      </c>
      <c r="D524" s="16">
        <v>909.57</v>
      </c>
      <c r="E524" s="20" t="s">
        <v>1543</v>
      </c>
      <c r="F524" s="20" t="s">
        <v>1544</v>
      </c>
      <c r="G524" s="12">
        <v>1</v>
      </c>
      <c r="H524" s="12">
        <v>1</v>
      </c>
      <c r="I524" s="16">
        <f>ROUND(G524,0)</f>
        <v>1</v>
      </c>
      <c r="J524" s="16">
        <f>ROUND(H524,0)</f>
        <v>1</v>
      </c>
      <c r="K524" s="18" t="str">
        <f>IF(I524=J524,"TAM",(CONCATENATE(G524,"/",H524)))</f>
        <v>TAM</v>
      </c>
      <c r="L524" s="29">
        <f>909.57*1/1</f>
        <v>909.57</v>
      </c>
      <c r="M524" s="30">
        <v>0</v>
      </c>
      <c r="N524" s="16" t="str">
        <f>IF(M524=0,"0",(O524*M524))</f>
        <v>0</v>
      </c>
      <c r="O524" s="16">
        <f>IF(W524=1,L524,((D524*G524/H524)-P524)/(1-V524)-S524-T524)</f>
        <v>909.57</v>
      </c>
      <c r="P524" s="16">
        <v>0</v>
      </c>
      <c r="Q524" s="16">
        <f>IF(U524=0,"0",O524*U524)</f>
        <v>304.48076931454415</v>
      </c>
      <c r="R524" s="17">
        <f>IF(U524=0,(((D524*G524/H524)-P524-S524-T524)/(1-V524)),(((D524*G524/H524)-P524-S524-T524)/(1-V524))-((D524*G524/H524)-P524-S524-T524)*U524/(1-V524))</f>
        <v>605.089230685456</v>
      </c>
      <c r="S524" s="12">
        <v>0</v>
      </c>
      <c r="T524" s="12">
        <v>0</v>
      </c>
      <c r="U524" s="12">
        <v>0.334752431714485</v>
      </c>
      <c r="V524" s="12">
        <v>0</v>
      </c>
      <c r="W524" s="28">
        <f>IF(V524&gt;U524,1,V524)</f>
        <v>0</v>
      </c>
      <c r="X524" s="12">
        <v>1</v>
      </c>
      <c r="Y524" s="16">
        <v>0</v>
      </c>
      <c r="Z524" s="42" t="str">
        <f>IF(OR(W524=1,W524=0),"0",(Q524-N524))</f>
        <v>0</v>
      </c>
      <c r="AA524" s="53" t="s">
        <v>1546</v>
      </c>
      <c r="AB524" s="16" t="s">
        <v>1548</v>
      </c>
      <c r="AC524" s="16">
        <v>241.77</v>
      </c>
      <c r="AD524" s="16">
        <v>589.38</v>
      </c>
      <c r="AE524" s="16">
        <f>ROUND(AC524*100,0)</f>
        <v>24177</v>
      </c>
      <c r="AF524" s="16">
        <f>ROUND(AD524*100,0)</f>
        <v>58938</v>
      </c>
      <c r="AG524" s="19" t="str">
        <f>IF(AC524=AD524,"TAM",(CONCATENATE(AE524,"/",AF524)))</f>
        <v>24177/58938</v>
      </c>
      <c r="AH524" s="11" t="s">
        <v>50</v>
      </c>
      <c r="AI524" s="21" t="s">
        <v>50</v>
      </c>
      <c r="AJ524" s="21" t="s">
        <v>1547</v>
      </c>
      <c r="AK524" s="54" t="s">
        <v>50</v>
      </c>
      <c r="AL524" s="1" t="s">
        <v>50</v>
      </c>
    </row>
    <row r="525" spans="1:37" ht="30.75" customHeight="1">
      <c r="A525" s="43"/>
      <c r="B525" s="13"/>
      <c r="C525" s="13"/>
      <c r="D525" s="31"/>
      <c r="E525" s="34" t="s">
        <v>1545</v>
      </c>
      <c r="F525" s="14"/>
      <c r="G525" s="14"/>
      <c r="H525" s="14"/>
      <c r="I525" s="31"/>
      <c r="J525" s="31"/>
      <c r="K525" s="15"/>
      <c r="L525" s="15"/>
      <c r="M525" s="15"/>
      <c r="N525" s="15"/>
      <c r="O525" s="15"/>
      <c r="P525" s="14"/>
      <c r="Q525" s="14"/>
      <c r="R525" s="14"/>
      <c r="S525" s="14"/>
      <c r="T525" s="14"/>
      <c r="U525" s="14"/>
      <c r="V525" s="14"/>
      <c r="W525" s="14"/>
      <c r="X525" s="14"/>
      <c r="Y525" s="13"/>
      <c r="Z525" s="44"/>
      <c r="AA525" s="43"/>
      <c r="AB525" s="13"/>
      <c r="AC525" s="13"/>
      <c r="AD525" s="13"/>
      <c r="AE525" s="13"/>
      <c r="AF525" s="13"/>
      <c r="AG525" s="13"/>
      <c r="AH525" s="13"/>
      <c r="AI525" s="13"/>
      <c r="AJ525" s="13"/>
      <c r="AK525" s="44"/>
    </row>
    <row r="526" spans="1:38" ht="12.75" customHeight="1">
      <c r="A526" s="41">
        <v>165</v>
      </c>
      <c r="B526" s="10">
        <v>1053</v>
      </c>
      <c r="C526" s="10" t="s">
        <v>1549</v>
      </c>
      <c r="D526" s="16">
        <v>522.53</v>
      </c>
      <c r="E526" s="20" t="s">
        <v>1550</v>
      </c>
      <c r="F526" s="20" t="s">
        <v>1551</v>
      </c>
      <c r="G526" s="12">
        <v>23</v>
      </c>
      <c r="H526" s="12">
        <v>48</v>
      </c>
      <c r="I526" s="16">
        <f>ROUND(G526,0)</f>
        <v>23</v>
      </c>
      <c r="J526" s="16">
        <f>ROUND(H526,0)</f>
        <v>48</v>
      </c>
      <c r="K526" s="18" t="str">
        <f>IF(I526=J526,"TAM",(CONCATENATE(G526,"/",H526)))</f>
        <v>23/48</v>
      </c>
      <c r="L526" s="29">
        <f>522.53*23/48</f>
        <v>250.37895833333334</v>
      </c>
      <c r="M526" s="30">
        <v>0</v>
      </c>
      <c r="N526" s="16" t="str">
        <f>IF(M526=0,"0",(O526*M526))</f>
        <v>0</v>
      </c>
      <c r="O526" s="16">
        <f>IF(W526=1,L526,((D526*G526/H526)-P526)/(1-V526)-S526-T526)</f>
        <v>250.37895833333332</v>
      </c>
      <c r="P526" s="16">
        <v>0</v>
      </c>
      <c r="Q526" s="16">
        <f>IF(U526=0,"0",O526*U526)</f>
        <v>83.81496515222304</v>
      </c>
      <c r="R526" s="17">
        <f>IF(U526=0,(((D526*G526/H526)-P526-S526-T526)/(1-V526)),(((D526*G526/H526)-P526-S526-T526)/(1-V526))-((D526*G526/H526)-P526-S526-T526)*U526/(1-V526))</f>
        <v>166.56399318111028</v>
      </c>
      <c r="S526" s="12">
        <v>0</v>
      </c>
      <c r="T526" s="12">
        <v>0</v>
      </c>
      <c r="U526" s="12">
        <v>0.334752431714485</v>
      </c>
      <c r="V526" s="12">
        <v>0</v>
      </c>
      <c r="W526" s="28">
        <f>IF(V526&gt;U526,1,V526)</f>
        <v>0</v>
      </c>
      <c r="X526" s="12">
        <v>1</v>
      </c>
      <c r="Y526" s="16">
        <v>0</v>
      </c>
      <c r="Z526" s="42" t="str">
        <f>IF(OR(W526=1,W526=0),"0",(Q526-N526))</f>
        <v>0</v>
      </c>
      <c r="AA526" s="53" t="s">
        <v>1552</v>
      </c>
      <c r="AB526" s="16" t="s">
        <v>1554</v>
      </c>
      <c r="AC526" s="16">
        <v>166.56</v>
      </c>
      <c r="AD526" s="16">
        <v>589.38</v>
      </c>
      <c r="AE526" s="16">
        <f>ROUND(AC526*100,0)</f>
        <v>16656</v>
      </c>
      <c r="AF526" s="16">
        <f>ROUND(AD526*100,0)</f>
        <v>58938</v>
      </c>
      <c r="AG526" s="19" t="str">
        <f>IF(AC526=AD526,"TAM",(CONCATENATE(AE526,"/",AF526)))</f>
        <v>16656/58938</v>
      </c>
      <c r="AH526" s="11" t="s">
        <v>50</v>
      </c>
      <c r="AI526" s="21" t="s">
        <v>50</v>
      </c>
      <c r="AJ526" s="21" t="s">
        <v>1553</v>
      </c>
      <c r="AK526" s="54" t="s">
        <v>50</v>
      </c>
      <c r="AL526" s="1" t="s">
        <v>50</v>
      </c>
    </row>
    <row r="527" spans="1:37" ht="12.75" customHeight="1">
      <c r="A527" s="43"/>
      <c r="B527" s="13"/>
      <c r="C527" s="13"/>
      <c r="D527" s="31"/>
      <c r="E527" s="14" t="s">
        <v>50</v>
      </c>
      <c r="F527" s="14"/>
      <c r="G527" s="14"/>
      <c r="H527" s="14"/>
      <c r="I527" s="31"/>
      <c r="J527" s="31"/>
      <c r="K527" s="15"/>
      <c r="L527" s="15"/>
      <c r="M527" s="15"/>
      <c r="N527" s="15"/>
      <c r="O527" s="15"/>
      <c r="P527" s="14"/>
      <c r="Q527" s="14"/>
      <c r="R527" s="14"/>
      <c r="S527" s="14"/>
      <c r="T527" s="14"/>
      <c r="U527" s="14"/>
      <c r="V527" s="14"/>
      <c r="W527" s="14"/>
      <c r="X527" s="14"/>
      <c r="Y527" s="13"/>
      <c r="Z527" s="44"/>
      <c r="AA527" s="43"/>
      <c r="AB527" s="13"/>
      <c r="AC527" s="13"/>
      <c r="AD527" s="13"/>
      <c r="AE527" s="13"/>
      <c r="AF527" s="13"/>
      <c r="AG527" s="13"/>
      <c r="AH527" s="13"/>
      <c r="AI527" s="13"/>
      <c r="AJ527" s="13"/>
      <c r="AK527" s="44"/>
    </row>
    <row r="528" spans="1:38" ht="12.75" customHeight="1">
      <c r="A528" s="41">
        <v>164</v>
      </c>
      <c r="B528" s="10">
        <v>1053</v>
      </c>
      <c r="C528" s="10" t="s">
        <v>1555</v>
      </c>
      <c r="D528" s="16">
        <v>522.53</v>
      </c>
      <c r="E528" s="20" t="s">
        <v>1556</v>
      </c>
      <c r="F528" s="20" t="s">
        <v>1557</v>
      </c>
      <c r="G528" s="12">
        <v>25</v>
      </c>
      <c r="H528" s="12">
        <v>48</v>
      </c>
      <c r="I528" s="16">
        <f>ROUND(G528,0)</f>
        <v>25</v>
      </c>
      <c r="J528" s="16">
        <f>ROUND(H528,0)</f>
        <v>48</v>
      </c>
      <c r="K528" s="18" t="str">
        <f>IF(I528=J528,"TAM",(CONCATENATE(G528,"/",H528)))</f>
        <v>25/48</v>
      </c>
      <c r="L528" s="29">
        <f>522.53*25/48</f>
        <v>272.1510416666667</v>
      </c>
      <c r="M528" s="30">
        <v>0</v>
      </c>
      <c r="N528" s="16" t="str">
        <f>IF(M528=0,"0",(O528*M528))</f>
        <v>0</v>
      </c>
      <c r="O528" s="16">
        <f>IF(W528=1,L528,((D528*G528/H528)-P528)/(1-V528)-S528-T528)</f>
        <v>272.1510416666667</v>
      </c>
      <c r="P528" s="16">
        <v>0</v>
      </c>
      <c r="Q528" s="16">
        <f>IF(U528=0,"0",O528*U528)</f>
        <v>91.1032229915468</v>
      </c>
      <c r="R528" s="17">
        <f>IF(U528=0,(((D528*G528/H528)-P528-S528-T528)/(1-V528)),(((D528*G528/H528)-P528-S528-T528)/(1-V528))-((D528*G528/H528)-P528-S528-T528)*U528/(1-V528))</f>
        <v>181.04781867511988</v>
      </c>
      <c r="S528" s="12">
        <v>0</v>
      </c>
      <c r="T528" s="12">
        <v>0</v>
      </c>
      <c r="U528" s="12">
        <v>0.334752431714485</v>
      </c>
      <c r="V528" s="12">
        <v>0</v>
      </c>
      <c r="W528" s="28">
        <f>IF(V528&gt;U528,1,V528)</f>
        <v>0</v>
      </c>
      <c r="X528" s="12">
        <v>1</v>
      </c>
      <c r="Y528" s="16">
        <v>0</v>
      </c>
      <c r="Z528" s="42" t="str">
        <f>IF(OR(W528=1,W528=0),"0",(Q528-N528))</f>
        <v>0</v>
      </c>
      <c r="AA528" s="53" t="s">
        <v>1558</v>
      </c>
      <c r="AB528" s="16" t="s">
        <v>1560</v>
      </c>
      <c r="AC528" s="16">
        <v>181.05</v>
      </c>
      <c r="AD528" s="16">
        <v>589.38</v>
      </c>
      <c r="AE528" s="16">
        <f>ROUND(AC528*100,0)</f>
        <v>18105</v>
      </c>
      <c r="AF528" s="16">
        <f>ROUND(AD528*100,0)</f>
        <v>58938</v>
      </c>
      <c r="AG528" s="19" t="str">
        <f>IF(AC528=AD528,"TAM",(CONCATENATE(AE528,"/",AF528)))</f>
        <v>18105/58938</v>
      </c>
      <c r="AH528" s="11" t="s">
        <v>50</v>
      </c>
      <c r="AI528" s="21" t="s">
        <v>50</v>
      </c>
      <c r="AJ528" s="21" t="s">
        <v>1559</v>
      </c>
      <c r="AK528" s="54" t="s">
        <v>50</v>
      </c>
      <c r="AL528" s="1" t="s">
        <v>50</v>
      </c>
    </row>
    <row r="529" spans="1:37" ht="12.75" customHeight="1">
      <c r="A529" s="43"/>
      <c r="B529" s="13"/>
      <c r="C529" s="13"/>
      <c r="D529" s="31"/>
      <c r="E529" s="14" t="s">
        <v>50</v>
      </c>
      <c r="F529" s="14"/>
      <c r="G529" s="14"/>
      <c r="H529" s="14"/>
      <c r="I529" s="31"/>
      <c r="J529" s="31"/>
      <c r="K529" s="15"/>
      <c r="L529" s="15"/>
      <c r="M529" s="15"/>
      <c r="N529" s="15"/>
      <c r="O529" s="15"/>
      <c r="P529" s="14"/>
      <c r="Q529" s="14"/>
      <c r="R529" s="14"/>
      <c r="S529" s="14"/>
      <c r="T529" s="14"/>
      <c r="U529" s="14"/>
      <c r="V529" s="14"/>
      <c r="W529" s="14"/>
      <c r="X529" s="14"/>
      <c r="Y529" s="13"/>
      <c r="Z529" s="44"/>
      <c r="AA529" s="43"/>
      <c r="AB529" s="13"/>
      <c r="AC529" s="13"/>
      <c r="AD529" s="13"/>
      <c r="AE529" s="13"/>
      <c r="AF529" s="13"/>
      <c r="AG529" s="13"/>
      <c r="AH529" s="13"/>
      <c r="AI529" s="13"/>
      <c r="AJ529" s="13"/>
      <c r="AK529" s="44"/>
    </row>
    <row r="530" spans="1:38" ht="12.75" customHeight="1">
      <c r="A530" s="41">
        <v>166</v>
      </c>
      <c r="B530" s="10">
        <v>1054</v>
      </c>
      <c r="C530" s="10" t="s">
        <v>1561</v>
      </c>
      <c r="D530" s="16">
        <v>550.74</v>
      </c>
      <c r="E530" s="20" t="s">
        <v>1562</v>
      </c>
      <c r="F530" s="20" t="s">
        <v>1563</v>
      </c>
      <c r="G530" s="12">
        <v>1</v>
      </c>
      <c r="H530" s="12">
        <v>1</v>
      </c>
      <c r="I530" s="16">
        <f>ROUND(G530,0)</f>
        <v>1</v>
      </c>
      <c r="J530" s="16">
        <f>ROUND(H530,0)</f>
        <v>1</v>
      </c>
      <c r="K530" s="18" t="str">
        <f>IF(I530=J530,"TAM",(CONCATENATE(G530,"/",H530)))</f>
        <v>TAM</v>
      </c>
      <c r="L530" s="29">
        <f>550.74*1/1</f>
        <v>550.74</v>
      </c>
      <c r="M530" s="30">
        <v>0</v>
      </c>
      <c r="N530" s="16" t="str">
        <f>IF(M530=0,"0",(O530*M530))</f>
        <v>0</v>
      </c>
      <c r="O530" s="16">
        <f>IF(W530=1,L530,((D530*G530/H530)-P530)/(1-V530)-S530-T530)</f>
        <v>550.74</v>
      </c>
      <c r="P530" s="16">
        <v>0</v>
      </c>
      <c r="Q530" s="16">
        <f>IF(U530=0,"0",O530*U530)</f>
        <v>184.36155424243546</v>
      </c>
      <c r="R530" s="17">
        <f>IF(U530=0,(((D530*G530/H530)-P530-S530-T530)/(1-V530)),(((D530*G530/H530)-P530-S530-T530)/(1-V530))-((D530*G530/H530)-P530-S530-T530)*U530/(1-V530))</f>
        <v>366.3784457575646</v>
      </c>
      <c r="S530" s="12">
        <v>0</v>
      </c>
      <c r="T530" s="12">
        <v>0</v>
      </c>
      <c r="U530" s="12">
        <v>0.334752431714485</v>
      </c>
      <c r="V530" s="12">
        <v>0</v>
      </c>
      <c r="W530" s="28">
        <f>IF(V530&gt;U530,1,V530)</f>
        <v>0</v>
      </c>
      <c r="X530" s="12">
        <v>1</v>
      </c>
      <c r="Y530" s="16">
        <v>0</v>
      </c>
      <c r="Z530" s="42" t="str">
        <f>IF(OR(W530=1,W530=0),"0",(Q530-N530))</f>
        <v>0</v>
      </c>
      <c r="AA530" s="53" t="s">
        <v>1564</v>
      </c>
      <c r="AB530" s="16" t="s">
        <v>1566</v>
      </c>
      <c r="AC530" s="16">
        <v>366.38</v>
      </c>
      <c r="AD530" s="16">
        <v>792.32</v>
      </c>
      <c r="AE530" s="16">
        <f>ROUND(AC530*100,0)</f>
        <v>36638</v>
      </c>
      <c r="AF530" s="16">
        <f>ROUND(AD530*100,0)</f>
        <v>79232</v>
      </c>
      <c r="AG530" s="19" t="str">
        <f>IF(AC530=AD530,"TAM",(CONCATENATE(AE530,"/",AF530)))</f>
        <v>36638/79232</v>
      </c>
      <c r="AH530" s="11" t="s">
        <v>50</v>
      </c>
      <c r="AI530" s="21" t="s">
        <v>50</v>
      </c>
      <c r="AJ530" s="21" t="s">
        <v>1565</v>
      </c>
      <c r="AK530" s="54" t="s">
        <v>50</v>
      </c>
      <c r="AL530" s="1" t="s">
        <v>50</v>
      </c>
    </row>
    <row r="531" spans="1:37" ht="12.75" customHeight="1">
      <c r="A531" s="43"/>
      <c r="B531" s="13"/>
      <c r="C531" s="13"/>
      <c r="D531" s="31"/>
      <c r="E531" s="14" t="s">
        <v>50</v>
      </c>
      <c r="F531" s="14"/>
      <c r="G531" s="14"/>
      <c r="H531" s="14"/>
      <c r="I531" s="31"/>
      <c r="J531" s="31"/>
      <c r="K531" s="15"/>
      <c r="L531" s="15"/>
      <c r="M531" s="15"/>
      <c r="N531" s="15"/>
      <c r="O531" s="15"/>
      <c r="P531" s="14"/>
      <c r="Q531" s="14"/>
      <c r="R531" s="14"/>
      <c r="S531" s="14"/>
      <c r="T531" s="14"/>
      <c r="U531" s="14"/>
      <c r="V531" s="14"/>
      <c r="W531" s="14"/>
      <c r="X531" s="14"/>
      <c r="Y531" s="13"/>
      <c r="Z531" s="44"/>
      <c r="AA531" s="43"/>
      <c r="AB531" s="13"/>
      <c r="AC531" s="13"/>
      <c r="AD531" s="13"/>
      <c r="AE531" s="13"/>
      <c r="AF531" s="13"/>
      <c r="AG531" s="13"/>
      <c r="AH531" s="13"/>
      <c r="AI531" s="13"/>
      <c r="AJ531" s="13"/>
      <c r="AK531" s="44"/>
    </row>
    <row r="532" spans="1:38" ht="12.75" customHeight="1">
      <c r="A532" s="41">
        <v>167</v>
      </c>
      <c r="B532" s="10">
        <v>1055</v>
      </c>
      <c r="C532" s="10" t="s">
        <v>1567</v>
      </c>
      <c r="D532" s="16">
        <v>274.98</v>
      </c>
      <c r="E532" s="20" t="s">
        <v>1568</v>
      </c>
      <c r="F532" s="20" t="s">
        <v>1569</v>
      </c>
      <c r="G532" s="12">
        <v>1</v>
      </c>
      <c r="H532" s="12">
        <v>1</v>
      </c>
      <c r="I532" s="16">
        <f>ROUND(G532,0)</f>
        <v>1</v>
      </c>
      <c r="J532" s="16">
        <f>ROUND(H532,0)</f>
        <v>1</v>
      </c>
      <c r="K532" s="18" t="str">
        <f>IF(I532=J532,"TAM",(CONCATENATE(G532,"/",H532)))</f>
        <v>TAM</v>
      </c>
      <c r="L532" s="29">
        <f>274.98*1/1</f>
        <v>274.98</v>
      </c>
      <c r="M532" s="30">
        <v>0</v>
      </c>
      <c r="N532" s="16" t="str">
        <f>IF(M532=0,"0",(O532*M532))</f>
        <v>0</v>
      </c>
      <c r="O532" s="16">
        <f>IF(W532=1,L532,((D532*G532/H532)-P532)/(1-V532)-S532-T532)</f>
        <v>274.98</v>
      </c>
      <c r="P532" s="16">
        <v>0</v>
      </c>
      <c r="Q532" s="16">
        <f>IF(U532=0,"0",O532*U532)</f>
        <v>92.05022367284909</v>
      </c>
      <c r="R532" s="17">
        <f>IF(U532=0,(((D532*G532/H532)-P532-S532-T532)/(1-V532)),(((D532*G532/H532)-P532-S532-T532)/(1-V532))-((D532*G532/H532)-P532-S532-T532)*U532/(1-V532))</f>
        <v>182.92977632715093</v>
      </c>
      <c r="S532" s="12">
        <v>0</v>
      </c>
      <c r="T532" s="12">
        <v>0</v>
      </c>
      <c r="U532" s="12">
        <v>0.334752431714485</v>
      </c>
      <c r="V532" s="12">
        <v>0</v>
      </c>
      <c r="W532" s="28">
        <f>IF(V532&gt;U532,1,V532)</f>
        <v>0</v>
      </c>
      <c r="X532" s="12">
        <v>1</v>
      </c>
      <c r="Y532" s="16">
        <v>0</v>
      </c>
      <c r="Z532" s="42" t="str">
        <f>IF(OR(W532=1,W532=0),"0",(Q532-N532))</f>
        <v>0</v>
      </c>
      <c r="AA532" s="53" t="s">
        <v>1571</v>
      </c>
      <c r="AB532" s="16" t="s">
        <v>1573</v>
      </c>
      <c r="AC532" s="16">
        <v>182.93</v>
      </c>
      <c r="AD532" s="16">
        <v>792.32</v>
      </c>
      <c r="AE532" s="16">
        <f>ROUND(AC532*100,0)</f>
        <v>18293</v>
      </c>
      <c r="AF532" s="16">
        <f>ROUND(AD532*100,0)</f>
        <v>79232</v>
      </c>
      <c r="AG532" s="19" t="str">
        <f>IF(AC532=AD532,"TAM",(CONCATENATE(AE532,"/",AF532)))</f>
        <v>18293/79232</v>
      </c>
      <c r="AH532" s="11" t="s">
        <v>50</v>
      </c>
      <c r="AI532" s="21" t="s">
        <v>50</v>
      </c>
      <c r="AJ532" s="21" t="s">
        <v>1572</v>
      </c>
      <c r="AK532" s="54" t="s">
        <v>50</v>
      </c>
      <c r="AL532" s="1" t="s">
        <v>50</v>
      </c>
    </row>
    <row r="533" spans="1:37" ht="13.5" customHeight="1">
      <c r="A533" s="43"/>
      <c r="B533" s="13"/>
      <c r="C533" s="13"/>
      <c r="D533" s="31"/>
      <c r="E533" s="14" t="s">
        <v>1570</v>
      </c>
      <c r="F533" s="14"/>
      <c r="G533" s="14"/>
      <c r="H533" s="14"/>
      <c r="I533" s="31"/>
      <c r="J533" s="31"/>
      <c r="K533" s="15"/>
      <c r="L533" s="15"/>
      <c r="M533" s="15"/>
      <c r="N533" s="15"/>
      <c r="O533" s="15"/>
      <c r="P533" s="14"/>
      <c r="Q533" s="14"/>
      <c r="R533" s="14"/>
      <c r="S533" s="14"/>
      <c r="T533" s="14"/>
      <c r="U533" s="14"/>
      <c r="V533" s="14"/>
      <c r="W533" s="14"/>
      <c r="X533" s="14"/>
      <c r="Y533" s="13"/>
      <c r="Z533" s="44"/>
      <c r="AA533" s="43"/>
      <c r="AB533" s="13"/>
      <c r="AC533" s="13"/>
      <c r="AD533" s="13"/>
      <c r="AE533" s="13"/>
      <c r="AF533" s="13"/>
      <c r="AG533" s="13"/>
      <c r="AH533" s="13"/>
      <c r="AI533" s="13"/>
      <c r="AJ533" s="13"/>
      <c r="AK533" s="44"/>
    </row>
    <row r="534" spans="1:38" ht="12.75" customHeight="1">
      <c r="A534" s="41">
        <v>169</v>
      </c>
      <c r="B534" s="10">
        <v>1056</v>
      </c>
      <c r="C534" s="10" t="s">
        <v>1574</v>
      </c>
      <c r="D534" s="16">
        <v>128.47</v>
      </c>
      <c r="E534" s="20" t="s">
        <v>1575</v>
      </c>
      <c r="F534" s="20" t="s">
        <v>1576</v>
      </c>
      <c r="G534" s="12">
        <v>1</v>
      </c>
      <c r="H534" s="12">
        <v>1</v>
      </c>
      <c r="I534" s="16">
        <f>ROUND(G534,0)</f>
        <v>1</v>
      </c>
      <c r="J534" s="16">
        <f>ROUND(H534,0)</f>
        <v>1</v>
      </c>
      <c r="K534" s="18" t="str">
        <f>IF(I534=J534,"TAM",(CONCATENATE(G534,"/",H534)))</f>
        <v>TAM</v>
      </c>
      <c r="L534" s="29">
        <f>128.47*1/1</f>
        <v>128.47</v>
      </c>
      <c r="M534" s="30">
        <v>0</v>
      </c>
      <c r="N534" s="16" t="str">
        <f>IF(M534=0,"0",(O534*M534))</f>
        <v>0</v>
      </c>
      <c r="O534" s="16">
        <f>IF(W534=1,L534,((D534*G534/H534)-P534)/(1-V534)-S534-T534)</f>
        <v>128.47</v>
      </c>
      <c r="P534" s="16">
        <v>0</v>
      </c>
      <c r="Q534" s="16">
        <f>IF(U534=0,"0",O534*U534)</f>
        <v>43.00564490235988</v>
      </c>
      <c r="R534" s="17">
        <f>IF(U534=0,(((D534*G534/H534)-P534-S534-T534)/(1-V534)),(((D534*G534/H534)-P534-S534-T534)/(1-V534))-((D534*G534/H534)-P534-S534-T534)*U534/(1-V534))</f>
        <v>85.46435509764012</v>
      </c>
      <c r="S534" s="12">
        <v>0</v>
      </c>
      <c r="T534" s="12">
        <v>0</v>
      </c>
      <c r="U534" s="12">
        <v>0.334752431714485</v>
      </c>
      <c r="V534" s="12">
        <v>0</v>
      </c>
      <c r="W534" s="28">
        <f>IF(V534&gt;U534,1,V534)</f>
        <v>0</v>
      </c>
      <c r="X534" s="12">
        <v>1</v>
      </c>
      <c r="Y534" s="16">
        <v>0</v>
      </c>
      <c r="Z534" s="42" t="str">
        <f>IF(OR(W534=1,W534=0),"0",(Q534-N534))</f>
        <v>0</v>
      </c>
      <c r="AA534" s="53" t="s">
        <v>1578</v>
      </c>
      <c r="AB534" s="16" t="s">
        <v>1580</v>
      </c>
      <c r="AC534" s="16">
        <v>85.46</v>
      </c>
      <c r="AD534" s="16">
        <v>792.32</v>
      </c>
      <c r="AE534" s="16">
        <f>ROUND(AC534*100,0)</f>
        <v>8546</v>
      </c>
      <c r="AF534" s="16">
        <f>ROUND(AD534*100,0)</f>
        <v>79232</v>
      </c>
      <c r="AG534" s="19" t="str">
        <f>IF(AC534=AD534,"TAM",(CONCATENATE(AE534,"/",AF534)))</f>
        <v>8546/79232</v>
      </c>
      <c r="AH534" s="11" t="s">
        <v>50</v>
      </c>
      <c r="AI534" s="21" t="s">
        <v>50</v>
      </c>
      <c r="AJ534" s="21" t="s">
        <v>1579</v>
      </c>
      <c r="AK534" s="54" t="s">
        <v>50</v>
      </c>
      <c r="AL534" s="1" t="s">
        <v>50</v>
      </c>
    </row>
    <row r="535" spans="1:37" ht="33" customHeight="1">
      <c r="A535" s="43"/>
      <c r="B535" s="13"/>
      <c r="C535" s="13"/>
      <c r="D535" s="31"/>
      <c r="E535" s="34" t="s">
        <v>1577</v>
      </c>
      <c r="F535" s="14"/>
      <c r="G535" s="14"/>
      <c r="H535" s="14"/>
      <c r="I535" s="31"/>
      <c r="J535" s="31"/>
      <c r="K535" s="15"/>
      <c r="L535" s="15"/>
      <c r="M535" s="15"/>
      <c r="N535" s="15"/>
      <c r="O535" s="15"/>
      <c r="P535" s="14"/>
      <c r="Q535" s="14"/>
      <c r="R535" s="14"/>
      <c r="S535" s="14"/>
      <c r="T535" s="14"/>
      <c r="U535" s="14"/>
      <c r="V535" s="14"/>
      <c r="W535" s="14"/>
      <c r="X535" s="14"/>
      <c r="Y535" s="13"/>
      <c r="Z535" s="44"/>
      <c r="AA535" s="43"/>
      <c r="AB535" s="13"/>
      <c r="AC535" s="13"/>
      <c r="AD535" s="13"/>
      <c r="AE535" s="13"/>
      <c r="AF535" s="13"/>
      <c r="AG535" s="13"/>
      <c r="AH535" s="13"/>
      <c r="AI535" s="13"/>
      <c r="AJ535" s="13"/>
      <c r="AK535" s="44"/>
    </row>
    <row r="536" spans="1:38" ht="12.75" customHeight="1">
      <c r="A536" s="41">
        <v>458</v>
      </c>
      <c r="B536" s="10">
        <v>1139</v>
      </c>
      <c r="C536" s="10" t="s">
        <v>1581</v>
      </c>
      <c r="D536" s="16">
        <v>3113.93</v>
      </c>
      <c r="E536" s="20" t="s">
        <v>1582</v>
      </c>
      <c r="F536" s="20" t="s">
        <v>1583</v>
      </c>
      <c r="G536" s="12">
        <v>1</v>
      </c>
      <c r="H536" s="12">
        <v>1</v>
      </c>
      <c r="I536" s="16">
        <f>ROUND(G536,0)</f>
        <v>1</v>
      </c>
      <c r="J536" s="16">
        <f>ROUND(H536,0)</f>
        <v>1</v>
      </c>
      <c r="K536" s="18" t="str">
        <f>IF(I536=J536,"TAM",(CONCATENATE(G536,"/",H536)))</f>
        <v>TAM</v>
      </c>
      <c r="L536" s="29">
        <f>3113.93*1/1</f>
        <v>3113.93</v>
      </c>
      <c r="M536" s="30">
        <v>0</v>
      </c>
      <c r="N536" s="16" t="str">
        <f>IF(M536=0,"0",(O536*M536))</f>
        <v>0</v>
      </c>
      <c r="O536" s="16">
        <f>IF(W536=1,L536,((D536*G536/H536)-P536)/(1-V536)-S536-T536)</f>
        <v>3113.93</v>
      </c>
      <c r="P536" s="16">
        <v>0</v>
      </c>
      <c r="Q536" s="16">
        <f>IF(U536=0,"0",O536*U536)</f>
        <v>1042.3956396886863</v>
      </c>
      <c r="R536" s="17">
        <f>IF(U536=0,(((D536*G536/H536)-P536-S536-T536)/(1-V536)),(((D536*G536/H536)-P536-S536-T536)/(1-V536))-((D536*G536/H536)-P536-S536-T536)*U536/(1-V536))</f>
        <v>2071.5343603113133</v>
      </c>
      <c r="S536" s="12">
        <v>0</v>
      </c>
      <c r="T536" s="12">
        <v>0</v>
      </c>
      <c r="U536" s="12">
        <v>0.334752431714485</v>
      </c>
      <c r="V536" s="12">
        <v>0</v>
      </c>
      <c r="W536" s="28">
        <f>IF(V536&gt;U536,1,V536)</f>
        <v>0</v>
      </c>
      <c r="X536" s="12">
        <v>1</v>
      </c>
      <c r="Y536" s="16">
        <v>0</v>
      </c>
      <c r="Z536" s="42" t="str">
        <f>IF(OR(W536=1,W536=0),"0",(Q536-N536))</f>
        <v>0</v>
      </c>
      <c r="AA536" s="53" t="s">
        <v>1584</v>
      </c>
      <c r="AB536" s="16" t="s">
        <v>1586</v>
      </c>
      <c r="AC536" s="16">
        <v>157.55</v>
      </c>
      <c r="AD536" s="16">
        <v>792.32</v>
      </c>
      <c r="AE536" s="16">
        <f>ROUND(AC536*100,0)</f>
        <v>15755</v>
      </c>
      <c r="AF536" s="16">
        <f>ROUND(AD536*100,0)</f>
        <v>79232</v>
      </c>
      <c r="AG536" s="19" t="str">
        <f>IF(AC536=AD536,"TAM",(CONCATENATE(AE536,"/",AF536)))</f>
        <v>15755/79232</v>
      </c>
      <c r="AH536" s="11" t="s">
        <v>50</v>
      </c>
      <c r="AI536" s="21" t="s">
        <v>50</v>
      </c>
      <c r="AJ536" s="21" t="s">
        <v>1585</v>
      </c>
      <c r="AK536" s="54" t="s">
        <v>50</v>
      </c>
      <c r="AL536" s="1" t="s">
        <v>50</v>
      </c>
    </row>
    <row r="537" spans="1:37" ht="12.75" customHeight="1">
      <c r="A537" s="43"/>
      <c r="B537" s="13"/>
      <c r="C537" s="13"/>
      <c r="D537" s="31"/>
      <c r="E537" s="14" t="s">
        <v>50</v>
      </c>
      <c r="F537" s="14"/>
      <c r="G537" s="14"/>
      <c r="H537" s="14"/>
      <c r="I537" s="31"/>
      <c r="J537" s="31"/>
      <c r="K537" s="15"/>
      <c r="L537" s="15"/>
      <c r="M537" s="15"/>
      <c r="N537" s="15"/>
      <c r="O537" s="15"/>
      <c r="P537" s="14"/>
      <c r="Q537" s="14"/>
      <c r="R537" s="14"/>
      <c r="S537" s="14"/>
      <c r="T537" s="14"/>
      <c r="U537" s="14"/>
      <c r="V537" s="14"/>
      <c r="W537" s="14"/>
      <c r="X537" s="14"/>
      <c r="Y537" s="13"/>
      <c r="Z537" s="44"/>
      <c r="AA537" s="43"/>
      <c r="AB537" s="13"/>
      <c r="AC537" s="13"/>
      <c r="AD537" s="13"/>
      <c r="AE537" s="13"/>
      <c r="AF537" s="13"/>
      <c r="AG537" s="13"/>
      <c r="AH537" s="13"/>
      <c r="AI537" s="13"/>
      <c r="AJ537" s="13"/>
      <c r="AK537" s="44"/>
    </row>
    <row r="538" spans="1:38" ht="12.75" customHeight="1">
      <c r="A538" s="41">
        <v>174</v>
      </c>
      <c r="B538" s="10">
        <v>1057</v>
      </c>
      <c r="C538" s="10" t="s">
        <v>1587</v>
      </c>
      <c r="D538" s="16">
        <v>1125.41</v>
      </c>
      <c r="E538" s="20" t="s">
        <v>1588</v>
      </c>
      <c r="F538" s="20" t="s">
        <v>1589</v>
      </c>
      <c r="G538" s="12">
        <v>1</v>
      </c>
      <c r="H538" s="12">
        <v>2</v>
      </c>
      <c r="I538" s="16">
        <f>ROUND(G538,0)</f>
        <v>1</v>
      </c>
      <c r="J538" s="16">
        <f>ROUND(H538,0)</f>
        <v>2</v>
      </c>
      <c r="K538" s="18" t="str">
        <f>IF(I538=J538,"TAM",(CONCATENATE(G538,"/",H538)))</f>
        <v>1/2</v>
      </c>
      <c r="L538" s="29">
        <f>1125.41*1/2</f>
        <v>562.705</v>
      </c>
      <c r="M538" s="30">
        <v>0</v>
      </c>
      <c r="N538" s="16" t="str">
        <f>IF(M538=0,"0",(O538*M538))</f>
        <v>0</v>
      </c>
      <c r="O538" s="16">
        <f>IF(W538=1,L538,((D538*G538/H538)-P538)/(1-V538)-S538-T538)</f>
        <v>562.705</v>
      </c>
      <c r="P538" s="16">
        <v>0</v>
      </c>
      <c r="Q538" s="16">
        <f>IF(U538=0,"0",O538*U538)</f>
        <v>188.3668670878993</v>
      </c>
      <c r="R538" s="17">
        <f>IF(U538=0,(((D538*G538/H538)-P538-S538-T538)/(1-V538)),(((D538*G538/H538)-P538-S538-T538)/(1-V538))-((D538*G538/H538)-P538-S538-T538)*U538/(1-V538))</f>
        <v>374.3381329121007</v>
      </c>
      <c r="S538" s="12">
        <v>0</v>
      </c>
      <c r="T538" s="12">
        <v>0</v>
      </c>
      <c r="U538" s="12">
        <v>0.334752431714485</v>
      </c>
      <c r="V538" s="12">
        <v>0</v>
      </c>
      <c r="W538" s="28">
        <f>IF(V538&gt;U538,1,V538)</f>
        <v>0</v>
      </c>
      <c r="X538" s="12">
        <v>1</v>
      </c>
      <c r="Y538" s="16">
        <v>0</v>
      </c>
      <c r="Z538" s="42" t="str">
        <f>IF(OR(W538=1,W538=0),"0",(Q538-N538))</f>
        <v>0</v>
      </c>
      <c r="AA538" s="53" t="s">
        <v>1590</v>
      </c>
      <c r="AB538" s="16" t="s">
        <v>1592</v>
      </c>
      <c r="AC538" s="16">
        <v>374.34</v>
      </c>
      <c r="AD538" s="16">
        <v>1208.46</v>
      </c>
      <c r="AE538" s="16">
        <f>ROUND(AC538*100,0)</f>
        <v>37434</v>
      </c>
      <c r="AF538" s="16">
        <f>ROUND(AD538*100,0)</f>
        <v>120846</v>
      </c>
      <c r="AG538" s="19" t="str">
        <f>IF(AC538=AD538,"TAM",(CONCATENATE(AE538,"/",AF538)))</f>
        <v>37434/120846</v>
      </c>
      <c r="AH538" s="11" t="s">
        <v>50</v>
      </c>
      <c r="AI538" s="21" t="s">
        <v>50</v>
      </c>
      <c r="AJ538" s="21" t="s">
        <v>1591</v>
      </c>
      <c r="AK538" s="54" t="s">
        <v>50</v>
      </c>
      <c r="AL538" s="1" t="s">
        <v>50</v>
      </c>
    </row>
    <row r="539" spans="1:37" ht="12.75" customHeight="1">
      <c r="A539" s="43"/>
      <c r="B539" s="13"/>
      <c r="C539" s="13"/>
      <c r="D539" s="31"/>
      <c r="E539" s="14" t="s">
        <v>50</v>
      </c>
      <c r="F539" s="14"/>
      <c r="G539" s="14"/>
      <c r="H539" s="14"/>
      <c r="I539" s="31"/>
      <c r="J539" s="31"/>
      <c r="K539" s="15"/>
      <c r="L539" s="15"/>
      <c r="M539" s="15"/>
      <c r="N539" s="15"/>
      <c r="O539" s="15"/>
      <c r="P539" s="14"/>
      <c r="Q539" s="14"/>
      <c r="R539" s="14"/>
      <c r="S539" s="14"/>
      <c r="T539" s="14"/>
      <c r="U539" s="14"/>
      <c r="V539" s="14"/>
      <c r="W539" s="14"/>
      <c r="X539" s="14"/>
      <c r="Y539" s="13"/>
      <c r="Z539" s="44"/>
      <c r="AA539" s="43"/>
      <c r="AB539" s="13"/>
      <c r="AC539" s="13"/>
      <c r="AD539" s="13"/>
      <c r="AE539" s="13"/>
      <c r="AF539" s="13"/>
      <c r="AG539" s="13"/>
      <c r="AH539" s="13"/>
      <c r="AI539" s="13"/>
      <c r="AJ539" s="13"/>
      <c r="AK539" s="44"/>
    </row>
    <row r="540" spans="1:38" ht="12.75" customHeight="1">
      <c r="A540" s="41">
        <v>173</v>
      </c>
      <c r="B540" s="10">
        <v>1057</v>
      </c>
      <c r="C540" s="10" t="s">
        <v>1593</v>
      </c>
      <c r="D540" s="16">
        <v>1125.41</v>
      </c>
      <c r="E540" s="20" t="s">
        <v>1594</v>
      </c>
      <c r="F540" s="20" t="s">
        <v>1595</v>
      </c>
      <c r="G540" s="12">
        <v>1</v>
      </c>
      <c r="H540" s="12">
        <v>2</v>
      </c>
      <c r="I540" s="16">
        <f>ROUND(G540,0)</f>
        <v>1</v>
      </c>
      <c r="J540" s="16">
        <f>ROUND(H540,0)</f>
        <v>2</v>
      </c>
      <c r="K540" s="18" t="str">
        <f>IF(I540=J540,"TAM",(CONCATENATE(G540,"/",H540)))</f>
        <v>1/2</v>
      </c>
      <c r="L540" s="29">
        <f>1125.41*1/2</f>
        <v>562.705</v>
      </c>
      <c r="M540" s="30">
        <v>0</v>
      </c>
      <c r="N540" s="16" t="str">
        <f>IF(M540=0,"0",(O540*M540))</f>
        <v>0</v>
      </c>
      <c r="O540" s="16">
        <f>IF(W540=1,L540,((D540*G540/H540)-P540)/(1-V540)-S540-T540)</f>
        <v>562.705</v>
      </c>
      <c r="P540" s="16">
        <v>0</v>
      </c>
      <c r="Q540" s="16">
        <f>IF(U540=0,"0",O540*U540)</f>
        <v>188.3668670878993</v>
      </c>
      <c r="R540" s="17">
        <f>IF(U540=0,(((D540*G540/H540)-P540-S540-T540)/(1-V540)),(((D540*G540/H540)-P540-S540-T540)/(1-V540))-((D540*G540/H540)-P540-S540-T540)*U540/(1-V540))</f>
        <v>374.3381329121007</v>
      </c>
      <c r="S540" s="12">
        <v>0</v>
      </c>
      <c r="T540" s="12">
        <v>0</v>
      </c>
      <c r="U540" s="12">
        <v>0.334752431714485</v>
      </c>
      <c r="V540" s="12">
        <v>0</v>
      </c>
      <c r="W540" s="28">
        <f>IF(V540&gt;U540,1,V540)</f>
        <v>0</v>
      </c>
      <c r="X540" s="12">
        <v>1</v>
      </c>
      <c r="Y540" s="16">
        <v>0</v>
      </c>
      <c r="Z540" s="42" t="str">
        <f>IF(OR(W540=1,W540=0),"0",(Q540-N540))</f>
        <v>0</v>
      </c>
      <c r="AA540" s="53" t="s">
        <v>1596</v>
      </c>
      <c r="AB540" s="16" t="s">
        <v>1598</v>
      </c>
      <c r="AC540" s="16">
        <v>374.34</v>
      </c>
      <c r="AD540" s="16">
        <v>1208.46</v>
      </c>
      <c r="AE540" s="16">
        <f>ROUND(AC540*100,0)</f>
        <v>37434</v>
      </c>
      <c r="AF540" s="16">
        <f>ROUND(AD540*100,0)</f>
        <v>120846</v>
      </c>
      <c r="AG540" s="19" t="str">
        <f>IF(AC540=AD540,"TAM",(CONCATENATE(AE540,"/",AF540)))</f>
        <v>37434/120846</v>
      </c>
      <c r="AH540" s="11" t="s">
        <v>50</v>
      </c>
      <c r="AI540" s="21" t="s">
        <v>50</v>
      </c>
      <c r="AJ540" s="21" t="s">
        <v>1597</v>
      </c>
      <c r="AK540" s="54" t="s">
        <v>50</v>
      </c>
      <c r="AL540" s="1" t="s">
        <v>50</v>
      </c>
    </row>
    <row r="541" spans="1:37" ht="12.75" customHeight="1">
      <c r="A541" s="43"/>
      <c r="B541" s="13"/>
      <c r="C541" s="13"/>
      <c r="D541" s="31"/>
      <c r="E541" s="14" t="s">
        <v>50</v>
      </c>
      <c r="F541" s="14"/>
      <c r="G541" s="14"/>
      <c r="H541" s="14"/>
      <c r="I541" s="31"/>
      <c r="J541" s="31"/>
      <c r="K541" s="15"/>
      <c r="L541" s="15"/>
      <c r="M541" s="15"/>
      <c r="N541" s="15"/>
      <c r="O541" s="15"/>
      <c r="P541" s="14"/>
      <c r="Q541" s="14"/>
      <c r="R541" s="14"/>
      <c r="S541" s="14"/>
      <c r="T541" s="14"/>
      <c r="U541" s="14"/>
      <c r="V541" s="14"/>
      <c r="W541" s="14"/>
      <c r="X541" s="14"/>
      <c r="Y541" s="13"/>
      <c r="Z541" s="44"/>
      <c r="AA541" s="43"/>
      <c r="AB541" s="13"/>
      <c r="AC541" s="13"/>
      <c r="AD541" s="13"/>
      <c r="AE541" s="13"/>
      <c r="AF541" s="13"/>
      <c r="AG541" s="13"/>
      <c r="AH541" s="13"/>
      <c r="AI541" s="13"/>
      <c r="AJ541" s="13"/>
      <c r="AK541" s="44"/>
    </row>
    <row r="542" spans="1:38" ht="12.75" customHeight="1">
      <c r="A542" s="41">
        <v>178</v>
      </c>
      <c r="B542" s="10">
        <v>1059</v>
      </c>
      <c r="C542" s="10" t="s">
        <v>1599</v>
      </c>
      <c r="D542" s="16">
        <v>817.88</v>
      </c>
      <c r="E542" s="20" t="s">
        <v>1600</v>
      </c>
      <c r="F542" s="20" t="s">
        <v>1601</v>
      </c>
      <c r="G542" s="12">
        <v>7</v>
      </c>
      <c r="H542" s="12">
        <v>48</v>
      </c>
      <c r="I542" s="16">
        <f>ROUND(G542,0)</f>
        <v>7</v>
      </c>
      <c r="J542" s="16">
        <f>ROUND(H542,0)</f>
        <v>48</v>
      </c>
      <c r="K542" s="18" t="str">
        <f>IF(I542=J542,"TAM",(CONCATENATE(G542,"/",H542)))</f>
        <v>7/48</v>
      </c>
      <c r="L542" s="29">
        <f>817.88*7/48</f>
        <v>119.27416666666667</v>
      </c>
      <c r="M542" s="30">
        <v>0</v>
      </c>
      <c r="N542" s="16" t="str">
        <f>IF(M542=0,"0",(O542*M542))</f>
        <v>0</v>
      </c>
      <c r="O542" s="16">
        <f>IF(W542=1,L542,((D542*G542/H542)-P542)/(1-V542)-S542-T542)</f>
        <v>119.27416666666666</v>
      </c>
      <c r="P542" s="16">
        <v>0</v>
      </c>
      <c r="Q542" s="16">
        <f>IF(U542=0,"0",O542*U542)</f>
        <v>39.927317332385435</v>
      </c>
      <c r="R542" s="17">
        <f>IF(U542=0,(((D542*G542/H542)-P542-S542-T542)/(1-V542)),(((D542*G542/H542)-P542-S542-T542)/(1-V542))-((D542*G542/H542)-P542-S542-T542)*U542/(1-V542))</f>
        <v>79.34684933428122</v>
      </c>
      <c r="S542" s="12">
        <v>0</v>
      </c>
      <c r="T542" s="12">
        <v>0</v>
      </c>
      <c r="U542" s="12">
        <v>0.334752431714485</v>
      </c>
      <c r="V542" s="12">
        <v>0</v>
      </c>
      <c r="W542" s="28">
        <f>IF(V542&gt;U542,1,V542)</f>
        <v>0</v>
      </c>
      <c r="X542" s="12">
        <v>1</v>
      </c>
      <c r="Y542" s="16">
        <v>0</v>
      </c>
      <c r="Z542" s="42" t="str">
        <f>IF(OR(W542=1,W542=0),"0",(Q542-N542))</f>
        <v>0</v>
      </c>
      <c r="AA542" s="53" t="s">
        <v>1602</v>
      </c>
      <c r="AB542" s="16" t="s">
        <v>1604</v>
      </c>
      <c r="AC542" s="16">
        <v>56.37</v>
      </c>
      <c r="AD542" s="16">
        <v>1208.46</v>
      </c>
      <c r="AE542" s="16">
        <f>ROUND(AC542*100,0)</f>
        <v>5637</v>
      </c>
      <c r="AF542" s="16">
        <f>ROUND(AD542*100,0)</f>
        <v>120846</v>
      </c>
      <c r="AG542" s="19" t="str">
        <f>IF(AC542=AD542,"TAM",(CONCATENATE(AE542,"/",AF542)))</f>
        <v>5637/120846</v>
      </c>
      <c r="AH542" s="11" t="s">
        <v>50</v>
      </c>
      <c r="AI542" s="21" t="s">
        <v>50</v>
      </c>
      <c r="AJ542" s="21" t="s">
        <v>1603</v>
      </c>
      <c r="AK542" s="54" t="s">
        <v>50</v>
      </c>
      <c r="AL542" s="1" t="s">
        <v>50</v>
      </c>
    </row>
    <row r="543" spans="1:37" ht="12.75" customHeight="1">
      <c r="A543" s="43"/>
      <c r="B543" s="13"/>
      <c r="C543" s="13"/>
      <c r="D543" s="31"/>
      <c r="E543" s="14" t="s">
        <v>50</v>
      </c>
      <c r="F543" s="14"/>
      <c r="G543" s="14"/>
      <c r="H543" s="14"/>
      <c r="I543" s="31"/>
      <c r="J543" s="31"/>
      <c r="K543" s="15"/>
      <c r="L543" s="15"/>
      <c r="M543" s="15"/>
      <c r="N543" s="15"/>
      <c r="O543" s="15"/>
      <c r="P543" s="14"/>
      <c r="Q543" s="14"/>
      <c r="R543" s="14"/>
      <c r="S543" s="14"/>
      <c r="T543" s="14"/>
      <c r="U543" s="14"/>
      <c r="V543" s="14"/>
      <c r="W543" s="14"/>
      <c r="X543" s="14"/>
      <c r="Y543" s="13"/>
      <c r="Z543" s="44"/>
      <c r="AA543" s="43"/>
      <c r="AB543" s="13"/>
      <c r="AC543" s="13"/>
      <c r="AD543" s="13"/>
      <c r="AE543" s="13"/>
      <c r="AF543" s="13"/>
      <c r="AG543" s="13"/>
      <c r="AH543" s="13"/>
      <c r="AI543" s="13"/>
      <c r="AJ543" s="13"/>
      <c r="AK543" s="44"/>
    </row>
    <row r="544" spans="1:38" ht="12.75" customHeight="1">
      <c r="A544" s="41">
        <v>179</v>
      </c>
      <c r="B544" s="10">
        <v>1059</v>
      </c>
      <c r="C544" s="10" t="s">
        <v>1605</v>
      </c>
      <c r="D544" s="16">
        <v>817.88</v>
      </c>
      <c r="E544" s="20" t="s">
        <v>1606</v>
      </c>
      <c r="F544" s="20" t="s">
        <v>1607</v>
      </c>
      <c r="G544" s="12">
        <v>41</v>
      </c>
      <c r="H544" s="12">
        <v>240</v>
      </c>
      <c r="I544" s="16">
        <f>ROUND(G544,0)</f>
        <v>41</v>
      </c>
      <c r="J544" s="16">
        <f>ROUND(H544,0)</f>
        <v>240</v>
      </c>
      <c r="K544" s="18" t="str">
        <f>IF(I544=J544,"TAM",(CONCATENATE(G544,"/",H544)))</f>
        <v>41/240</v>
      </c>
      <c r="L544" s="29">
        <f>817.88*41/240</f>
        <v>139.72116666666668</v>
      </c>
      <c r="M544" s="30">
        <v>0</v>
      </c>
      <c r="N544" s="16" t="str">
        <f>IF(M544=0,"0",(O544*M544))</f>
        <v>0</v>
      </c>
      <c r="O544" s="16">
        <f>IF(W544=1,L544,((D544*G544/H544)-P544)/(1-V544)-S544-T544)</f>
        <v>139.72116666666668</v>
      </c>
      <c r="P544" s="16">
        <v>0</v>
      </c>
      <c r="Q544" s="16">
        <f>IF(U544=0,"0",O544*U544)</f>
        <v>46.77200030365151</v>
      </c>
      <c r="R544" s="17">
        <f>IF(U544=0,(((D544*G544/H544)-P544-S544-T544)/(1-V544)),(((D544*G544/H544)-P544-S544-T544)/(1-V544))-((D544*G544/H544)-P544-S544-T544)*U544/(1-V544))</f>
        <v>92.94916636301517</v>
      </c>
      <c r="S544" s="12">
        <v>0</v>
      </c>
      <c r="T544" s="12">
        <v>0</v>
      </c>
      <c r="U544" s="12">
        <v>0.334752431714485</v>
      </c>
      <c r="V544" s="12">
        <v>0</v>
      </c>
      <c r="W544" s="28">
        <f>IF(V544&gt;U544,1,V544)</f>
        <v>0</v>
      </c>
      <c r="X544" s="12">
        <v>1</v>
      </c>
      <c r="Y544" s="16">
        <v>0</v>
      </c>
      <c r="Z544" s="42" t="str">
        <f>IF(OR(W544=1,W544=0),"0",(Q544-N544))</f>
        <v>0</v>
      </c>
      <c r="AA544" s="53" t="s">
        <v>1608</v>
      </c>
      <c r="AB544" s="16" t="s">
        <v>1610</v>
      </c>
      <c r="AC544" s="16">
        <v>66.03</v>
      </c>
      <c r="AD544" s="16">
        <v>1208.46</v>
      </c>
      <c r="AE544" s="16">
        <f>ROUND(AC544*100,0)</f>
        <v>6603</v>
      </c>
      <c r="AF544" s="16">
        <f>ROUND(AD544*100,0)</f>
        <v>120846</v>
      </c>
      <c r="AG544" s="19" t="str">
        <f>IF(AC544=AD544,"TAM",(CONCATENATE(AE544,"/",AF544)))</f>
        <v>6603/120846</v>
      </c>
      <c r="AH544" s="11" t="s">
        <v>50</v>
      </c>
      <c r="AI544" s="21" t="s">
        <v>50</v>
      </c>
      <c r="AJ544" s="21" t="s">
        <v>1609</v>
      </c>
      <c r="AK544" s="54" t="s">
        <v>50</v>
      </c>
      <c r="AL544" s="1" t="s">
        <v>50</v>
      </c>
    </row>
    <row r="545" spans="1:37" ht="12.75" customHeight="1">
      <c r="A545" s="43"/>
      <c r="B545" s="13"/>
      <c r="C545" s="13"/>
      <c r="D545" s="31"/>
      <c r="E545" s="14" t="s">
        <v>50</v>
      </c>
      <c r="F545" s="14"/>
      <c r="G545" s="14"/>
      <c r="H545" s="14"/>
      <c r="I545" s="31"/>
      <c r="J545" s="31"/>
      <c r="K545" s="15"/>
      <c r="L545" s="15"/>
      <c r="M545" s="15"/>
      <c r="N545" s="15"/>
      <c r="O545" s="15"/>
      <c r="P545" s="14"/>
      <c r="Q545" s="14"/>
      <c r="R545" s="14"/>
      <c r="S545" s="14"/>
      <c r="T545" s="14"/>
      <c r="U545" s="14"/>
      <c r="V545" s="14"/>
      <c r="W545" s="14"/>
      <c r="X545" s="14"/>
      <c r="Y545" s="13"/>
      <c r="Z545" s="44"/>
      <c r="AA545" s="43"/>
      <c r="AB545" s="13"/>
      <c r="AC545" s="13"/>
      <c r="AD545" s="13"/>
      <c r="AE545" s="13"/>
      <c r="AF545" s="13"/>
      <c r="AG545" s="13"/>
      <c r="AH545" s="13"/>
      <c r="AI545" s="13"/>
      <c r="AJ545" s="13"/>
      <c r="AK545" s="44"/>
    </row>
    <row r="546" spans="1:38" ht="12.75" customHeight="1">
      <c r="A546" s="41">
        <v>180</v>
      </c>
      <c r="B546" s="10">
        <v>1059</v>
      </c>
      <c r="C546" s="10" t="s">
        <v>1611</v>
      </c>
      <c r="D546" s="16">
        <v>817.88</v>
      </c>
      <c r="E546" s="20" t="s">
        <v>1612</v>
      </c>
      <c r="F546" s="20" t="s">
        <v>1613</v>
      </c>
      <c r="G546" s="12">
        <v>41</v>
      </c>
      <c r="H546" s="12">
        <v>240</v>
      </c>
      <c r="I546" s="16">
        <f>ROUND(G546,0)</f>
        <v>41</v>
      </c>
      <c r="J546" s="16">
        <f>ROUND(H546,0)</f>
        <v>240</v>
      </c>
      <c r="K546" s="18" t="str">
        <f>IF(I546=J546,"TAM",(CONCATENATE(G546,"/",H546)))</f>
        <v>41/240</v>
      </c>
      <c r="L546" s="29">
        <f>817.88*41/240</f>
        <v>139.72116666666668</v>
      </c>
      <c r="M546" s="30">
        <v>0</v>
      </c>
      <c r="N546" s="16" t="str">
        <f>IF(M546=0,"0",(O546*M546))</f>
        <v>0</v>
      </c>
      <c r="O546" s="16">
        <f>IF(W546=1,L546,((D546*G546/H546)-P546)/(1-V546)-S546-T546)</f>
        <v>139.72116666666668</v>
      </c>
      <c r="P546" s="16">
        <v>0</v>
      </c>
      <c r="Q546" s="16">
        <f>IF(U546=0,"0",O546*U546)</f>
        <v>46.77200030365151</v>
      </c>
      <c r="R546" s="17">
        <f>IF(U546=0,(((D546*G546/H546)-P546-S546-T546)/(1-V546)),(((D546*G546/H546)-P546-S546-T546)/(1-V546))-((D546*G546/H546)-P546-S546-T546)*U546/(1-V546))</f>
        <v>92.94916636301517</v>
      </c>
      <c r="S546" s="12">
        <v>0</v>
      </c>
      <c r="T546" s="12">
        <v>0</v>
      </c>
      <c r="U546" s="12">
        <v>0.334752431714485</v>
      </c>
      <c r="V546" s="12">
        <v>0</v>
      </c>
      <c r="W546" s="28">
        <f>IF(V546&gt;U546,1,V546)</f>
        <v>0</v>
      </c>
      <c r="X546" s="12">
        <v>1</v>
      </c>
      <c r="Y546" s="16">
        <v>0</v>
      </c>
      <c r="Z546" s="42" t="str">
        <f>IF(OR(W546=1,W546=0),"0",(Q546-N546))</f>
        <v>0</v>
      </c>
      <c r="AA546" s="53" t="s">
        <v>1614</v>
      </c>
      <c r="AB546" s="16" t="s">
        <v>1616</v>
      </c>
      <c r="AC546" s="16">
        <v>66.04</v>
      </c>
      <c r="AD546" s="16">
        <v>1208.46</v>
      </c>
      <c r="AE546" s="16">
        <f>ROUND(AC546*100,0)</f>
        <v>6604</v>
      </c>
      <c r="AF546" s="16">
        <f>ROUND(AD546*100,0)</f>
        <v>120846</v>
      </c>
      <c r="AG546" s="19" t="str">
        <f>IF(AC546=AD546,"TAM",(CONCATENATE(AE546,"/",AF546)))</f>
        <v>6604/120846</v>
      </c>
      <c r="AH546" s="11" t="s">
        <v>50</v>
      </c>
      <c r="AI546" s="21" t="s">
        <v>50</v>
      </c>
      <c r="AJ546" s="21" t="s">
        <v>1615</v>
      </c>
      <c r="AK546" s="54" t="s">
        <v>50</v>
      </c>
      <c r="AL546" s="1" t="s">
        <v>50</v>
      </c>
    </row>
    <row r="547" spans="1:37" ht="12.75" customHeight="1">
      <c r="A547" s="43"/>
      <c r="B547" s="13"/>
      <c r="C547" s="13"/>
      <c r="D547" s="31"/>
      <c r="E547" s="14" t="s">
        <v>50</v>
      </c>
      <c r="F547" s="14"/>
      <c r="G547" s="14"/>
      <c r="H547" s="14"/>
      <c r="I547" s="31"/>
      <c r="J547" s="31"/>
      <c r="K547" s="15"/>
      <c r="L547" s="15"/>
      <c r="M547" s="15"/>
      <c r="N547" s="15"/>
      <c r="O547" s="15"/>
      <c r="P547" s="14"/>
      <c r="Q547" s="14"/>
      <c r="R547" s="14"/>
      <c r="S547" s="14"/>
      <c r="T547" s="14"/>
      <c r="U547" s="14"/>
      <c r="V547" s="14"/>
      <c r="W547" s="14"/>
      <c r="X547" s="14"/>
      <c r="Y547" s="13"/>
      <c r="Z547" s="44"/>
      <c r="AA547" s="43"/>
      <c r="AB547" s="13"/>
      <c r="AC547" s="13"/>
      <c r="AD547" s="13"/>
      <c r="AE547" s="13"/>
      <c r="AF547" s="13"/>
      <c r="AG547" s="13"/>
      <c r="AH547" s="13"/>
      <c r="AI547" s="13"/>
      <c r="AJ547" s="13"/>
      <c r="AK547" s="44"/>
    </row>
    <row r="548" spans="1:38" ht="12.75" customHeight="1">
      <c r="A548" s="41">
        <v>183</v>
      </c>
      <c r="B548" s="10">
        <v>1059</v>
      </c>
      <c r="C548" s="10" t="s">
        <v>1617</v>
      </c>
      <c r="D548" s="16">
        <v>817.88</v>
      </c>
      <c r="E548" s="20" t="s">
        <v>1618</v>
      </c>
      <c r="F548" s="20" t="s">
        <v>1619</v>
      </c>
      <c r="G548" s="12">
        <v>41</v>
      </c>
      <c r="H548" s="12">
        <v>240</v>
      </c>
      <c r="I548" s="16">
        <f>ROUND(G548,0)</f>
        <v>41</v>
      </c>
      <c r="J548" s="16">
        <f>ROUND(H548,0)</f>
        <v>240</v>
      </c>
      <c r="K548" s="18" t="str">
        <f>IF(I548=J548,"TAM",(CONCATENATE(G548,"/",H548)))</f>
        <v>41/240</v>
      </c>
      <c r="L548" s="29">
        <f>817.88*41/240</f>
        <v>139.72116666666668</v>
      </c>
      <c r="M548" s="30">
        <v>0</v>
      </c>
      <c r="N548" s="16" t="str">
        <f>IF(M548=0,"0",(O548*M548))</f>
        <v>0</v>
      </c>
      <c r="O548" s="16">
        <f>IF(W548=1,L548,((D548*G548/H548)-P548)/(1-V548)-S548-T548)</f>
        <v>139.72116666666668</v>
      </c>
      <c r="P548" s="16">
        <v>0</v>
      </c>
      <c r="Q548" s="16">
        <f>IF(U548=0,"0",O548*U548)</f>
        <v>46.77200030365151</v>
      </c>
      <c r="R548" s="17">
        <f>IF(U548=0,(((D548*G548/H548)-P548-S548-T548)/(1-V548)),(((D548*G548/H548)-P548-S548-T548)/(1-V548))-((D548*G548/H548)-P548-S548-T548)*U548/(1-V548))</f>
        <v>92.94916636301517</v>
      </c>
      <c r="S548" s="12">
        <v>0</v>
      </c>
      <c r="T548" s="12">
        <v>0</v>
      </c>
      <c r="U548" s="12">
        <v>0.334752431714485</v>
      </c>
      <c r="V548" s="12">
        <v>0</v>
      </c>
      <c r="W548" s="28">
        <f>IF(V548&gt;U548,1,V548)</f>
        <v>0</v>
      </c>
      <c r="X548" s="12">
        <v>1</v>
      </c>
      <c r="Y548" s="16">
        <v>0</v>
      </c>
      <c r="Z548" s="42" t="str">
        <f>IF(OR(W548=1,W548=0),"0",(Q548-N548))</f>
        <v>0</v>
      </c>
      <c r="AA548" s="53" t="s">
        <v>1620</v>
      </c>
      <c r="AB548" s="16" t="s">
        <v>1622</v>
      </c>
      <c r="AC548" s="16">
        <v>66.03</v>
      </c>
      <c r="AD548" s="16">
        <v>1208.46</v>
      </c>
      <c r="AE548" s="16">
        <f>ROUND(AC548*100,0)</f>
        <v>6603</v>
      </c>
      <c r="AF548" s="16">
        <f>ROUND(AD548*100,0)</f>
        <v>120846</v>
      </c>
      <c r="AG548" s="19" t="str">
        <f>IF(AC548=AD548,"TAM",(CONCATENATE(AE548,"/",AF548)))</f>
        <v>6603/120846</v>
      </c>
      <c r="AH548" s="11" t="s">
        <v>50</v>
      </c>
      <c r="AI548" s="21" t="s">
        <v>50</v>
      </c>
      <c r="AJ548" s="21" t="s">
        <v>1621</v>
      </c>
      <c r="AK548" s="54" t="s">
        <v>50</v>
      </c>
      <c r="AL548" s="1" t="s">
        <v>50</v>
      </c>
    </row>
    <row r="549" spans="1:37" ht="12.75" customHeight="1">
      <c r="A549" s="43"/>
      <c r="B549" s="13"/>
      <c r="C549" s="13"/>
      <c r="D549" s="31"/>
      <c r="E549" s="14" t="s">
        <v>50</v>
      </c>
      <c r="F549" s="14"/>
      <c r="G549" s="14"/>
      <c r="H549" s="14"/>
      <c r="I549" s="31"/>
      <c r="J549" s="31"/>
      <c r="K549" s="15"/>
      <c r="L549" s="15"/>
      <c r="M549" s="15"/>
      <c r="N549" s="15"/>
      <c r="O549" s="15"/>
      <c r="P549" s="14"/>
      <c r="Q549" s="14"/>
      <c r="R549" s="14"/>
      <c r="S549" s="14"/>
      <c r="T549" s="14"/>
      <c r="U549" s="14"/>
      <c r="V549" s="14"/>
      <c r="W549" s="14"/>
      <c r="X549" s="14"/>
      <c r="Y549" s="13"/>
      <c r="Z549" s="44"/>
      <c r="AA549" s="43"/>
      <c r="AB549" s="13"/>
      <c r="AC549" s="13"/>
      <c r="AD549" s="13"/>
      <c r="AE549" s="13"/>
      <c r="AF549" s="13"/>
      <c r="AG549" s="13"/>
      <c r="AH549" s="13"/>
      <c r="AI549" s="13"/>
      <c r="AJ549" s="13"/>
      <c r="AK549" s="44"/>
    </row>
    <row r="550" spans="1:38" ht="12.75" customHeight="1">
      <c r="A550" s="41">
        <v>181</v>
      </c>
      <c r="B550" s="10">
        <v>1059</v>
      </c>
      <c r="C550" s="10" t="s">
        <v>1623</v>
      </c>
      <c r="D550" s="16">
        <v>817.88</v>
      </c>
      <c r="E550" s="20" t="s">
        <v>1624</v>
      </c>
      <c r="F550" s="20" t="s">
        <v>1625</v>
      </c>
      <c r="G550" s="12">
        <v>41</v>
      </c>
      <c r="H550" s="12">
        <v>240</v>
      </c>
      <c r="I550" s="16">
        <f>ROUND(G550,0)</f>
        <v>41</v>
      </c>
      <c r="J550" s="16">
        <f>ROUND(H550,0)</f>
        <v>240</v>
      </c>
      <c r="K550" s="18" t="str">
        <f>IF(I550=J550,"TAM",(CONCATENATE(G550,"/",H550)))</f>
        <v>41/240</v>
      </c>
      <c r="L550" s="29">
        <f>817.88*41/240</f>
        <v>139.72116666666668</v>
      </c>
      <c r="M550" s="30">
        <v>0</v>
      </c>
      <c r="N550" s="16" t="str">
        <f>IF(M550=0,"0",(O550*M550))</f>
        <v>0</v>
      </c>
      <c r="O550" s="16">
        <f>IF(W550=1,L550,((D550*G550/H550)-P550)/(1-V550)-S550-T550)</f>
        <v>139.72116666666668</v>
      </c>
      <c r="P550" s="16">
        <v>0</v>
      </c>
      <c r="Q550" s="16">
        <f>IF(U550=0,"0",O550*U550)</f>
        <v>46.77200030365151</v>
      </c>
      <c r="R550" s="17">
        <f>IF(U550=0,(((D550*G550/H550)-P550-S550-T550)/(1-V550)),(((D550*G550/H550)-P550-S550-T550)/(1-V550))-((D550*G550/H550)-P550-S550-T550)*U550/(1-V550))</f>
        <v>92.94916636301517</v>
      </c>
      <c r="S550" s="12">
        <v>0</v>
      </c>
      <c r="T550" s="12">
        <v>0</v>
      </c>
      <c r="U550" s="12">
        <v>0.334752431714485</v>
      </c>
      <c r="V550" s="12">
        <v>0</v>
      </c>
      <c r="W550" s="28">
        <f>IF(V550&gt;U550,1,V550)</f>
        <v>0</v>
      </c>
      <c r="X550" s="12">
        <v>1</v>
      </c>
      <c r="Y550" s="16">
        <v>0</v>
      </c>
      <c r="Z550" s="42" t="str">
        <f>IF(OR(W550=1,W550=0),"0",(Q550-N550))</f>
        <v>0</v>
      </c>
      <c r="AA550" s="53" t="s">
        <v>1626</v>
      </c>
      <c r="AB550" s="16" t="s">
        <v>1628</v>
      </c>
      <c r="AC550" s="16">
        <v>66.04</v>
      </c>
      <c r="AD550" s="16">
        <v>1208.46</v>
      </c>
      <c r="AE550" s="16">
        <f>ROUND(AC550*100,0)</f>
        <v>6604</v>
      </c>
      <c r="AF550" s="16">
        <f>ROUND(AD550*100,0)</f>
        <v>120846</v>
      </c>
      <c r="AG550" s="19" t="str">
        <f>IF(AC550=AD550,"TAM",(CONCATENATE(AE550,"/",AF550)))</f>
        <v>6604/120846</v>
      </c>
      <c r="AH550" s="11" t="s">
        <v>50</v>
      </c>
      <c r="AI550" s="21" t="s">
        <v>50</v>
      </c>
      <c r="AJ550" s="21" t="s">
        <v>1627</v>
      </c>
      <c r="AK550" s="54" t="s">
        <v>50</v>
      </c>
      <c r="AL550" s="1" t="s">
        <v>50</v>
      </c>
    </row>
    <row r="551" spans="1:37" ht="12.75" customHeight="1">
      <c r="A551" s="43"/>
      <c r="B551" s="13"/>
      <c r="C551" s="13"/>
      <c r="D551" s="31"/>
      <c r="E551" s="14" t="s">
        <v>50</v>
      </c>
      <c r="F551" s="14"/>
      <c r="G551" s="14"/>
      <c r="H551" s="14"/>
      <c r="I551" s="31"/>
      <c r="J551" s="31"/>
      <c r="K551" s="15"/>
      <c r="L551" s="15"/>
      <c r="M551" s="15"/>
      <c r="N551" s="15"/>
      <c r="O551" s="15"/>
      <c r="P551" s="14"/>
      <c r="Q551" s="14"/>
      <c r="R551" s="14"/>
      <c r="S551" s="14"/>
      <c r="T551" s="14"/>
      <c r="U551" s="14"/>
      <c r="V551" s="14"/>
      <c r="W551" s="14"/>
      <c r="X551" s="14"/>
      <c r="Y551" s="13"/>
      <c r="Z551" s="44"/>
      <c r="AA551" s="43"/>
      <c r="AB551" s="13"/>
      <c r="AC551" s="13"/>
      <c r="AD551" s="13"/>
      <c r="AE551" s="13"/>
      <c r="AF551" s="13"/>
      <c r="AG551" s="13"/>
      <c r="AH551" s="13"/>
      <c r="AI551" s="13"/>
      <c r="AJ551" s="13"/>
      <c r="AK551" s="44"/>
    </row>
    <row r="552" spans="1:38" ht="12.75" customHeight="1">
      <c r="A552" s="41">
        <v>182</v>
      </c>
      <c r="B552" s="10">
        <v>1059</v>
      </c>
      <c r="C552" s="10" t="s">
        <v>1629</v>
      </c>
      <c r="D552" s="16">
        <v>817.88</v>
      </c>
      <c r="E552" s="20" t="s">
        <v>1630</v>
      </c>
      <c r="F552" s="20" t="s">
        <v>1631</v>
      </c>
      <c r="G552" s="12">
        <v>41</v>
      </c>
      <c r="H552" s="12">
        <v>240</v>
      </c>
      <c r="I552" s="16">
        <f>ROUND(G552,0)</f>
        <v>41</v>
      </c>
      <c r="J552" s="16">
        <f>ROUND(H552,0)</f>
        <v>240</v>
      </c>
      <c r="K552" s="18" t="str">
        <f>IF(I552=J552,"TAM",(CONCATENATE(G552,"/",H552)))</f>
        <v>41/240</v>
      </c>
      <c r="L552" s="29">
        <f>817.88*41/240</f>
        <v>139.72116666666668</v>
      </c>
      <c r="M552" s="30">
        <v>0</v>
      </c>
      <c r="N552" s="16" t="str">
        <f>IF(M552=0,"0",(O552*M552))</f>
        <v>0</v>
      </c>
      <c r="O552" s="16">
        <f>IF(W552=1,L552,((D552*G552/H552)-P552)/(1-V552)-S552-T552)</f>
        <v>139.72116666666668</v>
      </c>
      <c r="P552" s="16">
        <v>0</v>
      </c>
      <c r="Q552" s="16">
        <f>IF(U552=0,"0",O552*U552)</f>
        <v>46.77200030365151</v>
      </c>
      <c r="R552" s="17">
        <f>IF(U552=0,(((D552*G552/H552)-P552-S552-T552)/(1-V552)),(((D552*G552/H552)-P552-S552-T552)/(1-V552))-((D552*G552/H552)-P552-S552-T552)*U552/(1-V552))</f>
        <v>92.94916636301517</v>
      </c>
      <c r="S552" s="12">
        <v>0</v>
      </c>
      <c r="T552" s="12">
        <v>0</v>
      </c>
      <c r="U552" s="12">
        <v>0.334752431714485</v>
      </c>
      <c r="V552" s="12">
        <v>0</v>
      </c>
      <c r="W552" s="28">
        <f>IF(V552&gt;U552,1,V552)</f>
        <v>0</v>
      </c>
      <c r="X552" s="12">
        <v>1</v>
      </c>
      <c r="Y552" s="16">
        <v>0</v>
      </c>
      <c r="Z552" s="42" t="str">
        <f>IF(OR(W552=1,W552=0),"0",(Q552-N552))</f>
        <v>0</v>
      </c>
      <c r="AA552" s="53" t="s">
        <v>1632</v>
      </c>
      <c r="AB552" s="16" t="s">
        <v>1634</v>
      </c>
      <c r="AC552" s="16">
        <v>66.03</v>
      </c>
      <c r="AD552" s="16">
        <v>1208.46</v>
      </c>
      <c r="AE552" s="16">
        <f>ROUND(AC552*100,0)</f>
        <v>6603</v>
      </c>
      <c r="AF552" s="16">
        <f>ROUND(AD552*100,0)</f>
        <v>120846</v>
      </c>
      <c r="AG552" s="19" t="str">
        <f>IF(AC552=AD552,"TAM",(CONCATENATE(AE552,"/",AF552)))</f>
        <v>6603/120846</v>
      </c>
      <c r="AH552" s="11" t="s">
        <v>50</v>
      </c>
      <c r="AI552" s="21" t="s">
        <v>50</v>
      </c>
      <c r="AJ552" s="21" t="s">
        <v>1633</v>
      </c>
      <c r="AK552" s="54" t="s">
        <v>50</v>
      </c>
      <c r="AL552" s="1" t="s">
        <v>50</v>
      </c>
    </row>
    <row r="553" spans="1:37" ht="12.75" customHeight="1">
      <c r="A553" s="43"/>
      <c r="B553" s="13"/>
      <c r="C553" s="13"/>
      <c r="D553" s="31"/>
      <c r="E553" s="14" t="s">
        <v>50</v>
      </c>
      <c r="F553" s="14"/>
      <c r="G553" s="14"/>
      <c r="H553" s="14"/>
      <c r="I553" s="31"/>
      <c r="J553" s="31"/>
      <c r="K553" s="15"/>
      <c r="L553" s="15"/>
      <c r="M553" s="15"/>
      <c r="N553" s="15"/>
      <c r="O553" s="15"/>
      <c r="P553" s="14"/>
      <c r="Q553" s="14"/>
      <c r="R553" s="14"/>
      <c r="S553" s="14"/>
      <c r="T553" s="14"/>
      <c r="U553" s="14"/>
      <c r="V553" s="14"/>
      <c r="W553" s="14"/>
      <c r="X553" s="14"/>
      <c r="Y553" s="13"/>
      <c r="Z553" s="44"/>
      <c r="AA553" s="43"/>
      <c r="AB553" s="13"/>
      <c r="AC553" s="13"/>
      <c r="AD553" s="13"/>
      <c r="AE553" s="13"/>
      <c r="AF553" s="13"/>
      <c r="AG553" s="13"/>
      <c r="AH553" s="13"/>
      <c r="AI553" s="13"/>
      <c r="AJ553" s="13"/>
      <c r="AK553" s="44"/>
    </row>
    <row r="554" spans="1:38" ht="12.75" customHeight="1">
      <c r="A554" s="41">
        <v>465</v>
      </c>
      <c r="B554" s="10">
        <v>1153</v>
      </c>
      <c r="C554" s="10" t="s">
        <v>1635</v>
      </c>
      <c r="D554" s="16">
        <v>644.78</v>
      </c>
      <c r="E554" s="20" t="s">
        <v>1636</v>
      </c>
      <c r="F554" s="20" t="s">
        <v>1637</v>
      </c>
      <c r="G554" s="12">
        <v>7</v>
      </c>
      <c r="H554" s="12">
        <v>48</v>
      </c>
      <c r="I554" s="16">
        <f>ROUND(G554,0)</f>
        <v>7</v>
      </c>
      <c r="J554" s="16">
        <f>ROUND(H554,0)</f>
        <v>48</v>
      </c>
      <c r="K554" s="18" t="str">
        <f>IF(I554=J554,"TAM",(CONCATENATE(G554,"/",H554)))</f>
        <v>7/48</v>
      </c>
      <c r="L554" s="29">
        <f>644.78*7/48</f>
        <v>94.03041666666667</v>
      </c>
      <c r="M554" s="30">
        <v>0</v>
      </c>
      <c r="N554" s="16" t="str">
        <f>IF(M554=0,"0",(O554*M554))</f>
        <v>0</v>
      </c>
      <c r="O554" s="16">
        <f>IF(W554=1,L554,((D554*G554/H554)-P554)/(1-V554)-S554-T554)</f>
        <v>16.06041666666667</v>
      </c>
      <c r="P554" s="16">
        <v>77.97</v>
      </c>
      <c r="Q554" s="16">
        <f>IF(U554=0,"0",O554*U554)</f>
        <v>5.376263533514511</v>
      </c>
      <c r="R554" s="17">
        <f>IF(U554=0,(((D554*G554/H554)-P554-S554-T554)/(1-V554)),(((D554*G554/H554)-P554-S554-T554)/(1-V554))-((D554*G554/H554)-P554-S554-T554)*U554/(1-V554))</f>
        <v>10.684153133152158</v>
      </c>
      <c r="S554" s="12">
        <v>0</v>
      </c>
      <c r="T554" s="12">
        <v>0</v>
      </c>
      <c r="U554" s="12">
        <v>0.334752431714485</v>
      </c>
      <c r="V554" s="12">
        <v>0</v>
      </c>
      <c r="W554" s="28">
        <f>IF(V554&gt;U554,1,V554)</f>
        <v>0</v>
      </c>
      <c r="X554" s="12">
        <v>1</v>
      </c>
      <c r="Y554" s="16">
        <v>0</v>
      </c>
      <c r="Z554" s="42" t="str">
        <f>IF(OR(W554=1,W554=0),"0",(Q554-N554))</f>
        <v>0</v>
      </c>
      <c r="AA554" s="53" t="s">
        <v>1638</v>
      </c>
      <c r="AB554" s="16" t="s">
        <v>1640</v>
      </c>
      <c r="AC554" s="16">
        <v>10.69</v>
      </c>
      <c r="AD554" s="16">
        <v>1208.46</v>
      </c>
      <c r="AE554" s="16">
        <f>ROUND(AC554*100,0)</f>
        <v>1069</v>
      </c>
      <c r="AF554" s="16">
        <f>ROUND(AD554*100,0)</f>
        <v>120846</v>
      </c>
      <c r="AG554" s="19" t="str">
        <f>IF(AC554=AD554,"TAM",(CONCATENATE(AE554,"/",AF554)))</f>
        <v>1069/120846</v>
      </c>
      <c r="AH554" s="11" t="s">
        <v>50</v>
      </c>
      <c r="AI554" s="21" t="s">
        <v>50</v>
      </c>
      <c r="AJ554" s="21" t="s">
        <v>1639</v>
      </c>
      <c r="AK554" s="54" t="s">
        <v>50</v>
      </c>
      <c r="AL554" s="1" t="s">
        <v>50</v>
      </c>
    </row>
    <row r="555" spans="1:37" ht="12.75" customHeight="1">
      <c r="A555" s="43"/>
      <c r="B555" s="13"/>
      <c r="C555" s="13"/>
      <c r="D555" s="31"/>
      <c r="E555" s="14" t="s">
        <v>50</v>
      </c>
      <c r="F555" s="14"/>
      <c r="G555" s="14"/>
      <c r="H555" s="14"/>
      <c r="I555" s="31"/>
      <c r="J555" s="31"/>
      <c r="K555" s="15"/>
      <c r="L555" s="15"/>
      <c r="M555" s="15"/>
      <c r="N555" s="15"/>
      <c r="O555" s="15"/>
      <c r="P555" s="14"/>
      <c r="Q555" s="14"/>
      <c r="R555" s="14"/>
      <c r="S555" s="14"/>
      <c r="T555" s="14"/>
      <c r="U555" s="14"/>
      <c r="V555" s="14"/>
      <c r="W555" s="14"/>
      <c r="X555" s="14"/>
      <c r="Y555" s="13"/>
      <c r="Z555" s="44"/>
      <c r="AA555" s="43"/>
      <c r="AB555" s="13"/>
      <c r="AC555" s="13"/>
      <c r="AD555" s="13"/>
      <c r="AE555" s="13"/>
      <c r="AF555" s="13"/>
      <c r="AG555" s="13"/>
      <c r="AH555" s="13"/>
      <c r="AI555" s="13"/>
      <c r="AJ555" s="13"/>
      <c r="AK555" s="44"/>
    </row>
    <row r="556" spans="1:38" ht="12.75" customHeight="1">
      <c r="A556" s="41">
        <v>466</v>
      </c>
      <c r="B556" s="10">
        <v>1153</v>
      </c>
      <c r="C556" s="10" t="s">
        <v>1641</v>
      </c>
      <c r="D556" s="16">
        <v>644.78</v>
      </c>
      <c r="E556" s="20" t="s">
        <v>1642</v>
      </c>
      <c r="F556" s="20" t="s">
        <v>1643</v>
      </c>
      <c r="G556" s="12">
        <v>41</v>
      </c>
      <c r="H556" s="12">
        <v>240</v>
      </c>
      <c r="I556" s="16">
        <f>ROUND(G556,0)</f>
        <v>41</v>
      </c>
      <c r="J556" s="16">
        <f>ROUND(H556,0)</f>
        <v>240</v>
      </c>
      <c r="K556" s="18" t="str">
        <f>IF(I556=J556,"TAM",(CONCATENATE(G556,"/",H556)))</f>
        <v>41/240</v>
      </c>
      <c r="L556" s="29">
        <f>644.78*41/240</f>
        <v>110.14991666666667</v>
      </c>
      <c r="M556" s="30">
        <v>0</v>
      </c>
      <c r="N556" s="16" t="str">
        <f>IF(M556=0,"0",(O556*M556))</f>
        <v>0</v>
      </c>
      <c r="O556" s="16">
        <f>IF(W556=1,L556,((D556*G556/H556)-P556)/(1-V556)-S556-T556)</f>
        <v>18.809916666666666</v>
      </c>
      <c r="P556" s="16">
        <v>91.34</v>
      </c>
      <c r="Q556" s="16">
        <f>IF(U556=0,"0",O556*U556)</f>
        <v>6.296665344513486</v>
      </c>
      <c r="R556" s="17">
        <f>IF(U556=0,(((D556*G556/H556)-P556-S556-T556)/(1-V556)),(((D556*G556/H556)-P556-S556-T556)/(1-V556))-((D556*G556/H556)-P556-S556-T556)*U556/(1-V556))</f>
        <v>12.513251322153181</v>
      </c>
      <c r="S556" s="12">
        <v>0</v>
      </c>
      <c r="T556" s="12">
        <v>0</v>
      </c>
      <c r="U556" s="12">
        <v>0.334752431714485</v>
      </c>
      <c r="V556" s="12">
        <v>0</v>
      </c>
      <c r="W556" s="28">
        <f>IF(V556&gt;U556,1,V556)</f>
        <v>0</v>
      </c>
      <c r="X556" s="12">
        <v>1</v>
      </c>
      <c r="Y556" s="16">
        <v>0</v>
      </c>
      <c r="Z556" s="42" t="str">
        <f>IF(OR(W556=1,W556=0),"0",(Q556-N556))</f>
        <v>0</v>
      </c>
      <c r="AA556" s="53" t="s">
        <v>1644</v>
      </c>
      <c r="AB556" s="16" t="s">
        <v>1646</v>
      </c>
      <c r="AC556" s="16">
        <v>12.52</v>
      </c>
      <c r="AD556" s="16">
        <v>1208.46</v>
      </c>
      <c r="AE556" s="16">
        <f>ROUND(AC556*100,0)</f>
        <v>1252</v>
      </c>
      <c r="AF556" s="16">
        <f>ROUND(AD556*100,0)</f>
        <v>120846</v>
      </c>
      <c r="AG556" s="19" t="str">
        <f>IF(AC556=AD556,"TAM",(CONCATENATE(AE556,"/",AF556)))</f>
        <v>1252/120846</v>
      </c>
      <c r="AH556" s="11" t="s">
        <v>50</v>
      </c>
      <c r="AI556" s="21" t="s">
        <v>50</v>
      </c>
      <c r="AJ556" s="21" t="s">
        <v>1645</v>
      </c>
      <c r="AK556" s="54" t="s">
        <v>50</v>
      </c>
      <c r="AL556" s="1" t="s">
        <v>50</v>
      </c>
    </row>
    <row r="557" spans="1:37" ht="12.75" customHeight="1">
      <c r="A557" s="43"/>
      <c r="B557" s="13"/>
      <c r="C557" s="13"/>
      <c r="D557" s="31"/>
      <c r="E557" s="14" t="s">
        <v>50</v>
      </c>
      <c r="F557" s="14"/>
      <c r="G557" s="14"/>
      <c r="H557" s="14"/>
      <c r="I557" s="31"/>
      <c r="J557" s="31"/>
      <c r="K557" s="15"/>
      <c r="L557" s="15"/>
      <c r="M557" s="15"/>
      <c r="N557" s="15"/>
      <c r="O557" s="15"/>
      <c r="P557" s="14"/>
      <c r="Q557" s="14"/>
      <c r="R557" s="14"/>
      <c r="S557" s="14"/>
      <c r="T557" s="14"/>
      <c r="U557" s="14"/>
      <c r="V557" s="14"/>
      <c r="W557" s="14"/>
      <c r="X557" s="14"/>
      <c r="Y557" s="13"/>
      <c r="Z557" s="44"/>
      <c r="AA557" s="43"/>
      <c r="AB557" s="13"/>
      <c r="AC557" s="13"/>
      <c r="AD557" s="13"/>
      <c r="AE557" s="13"/>
      <c r="AF557" s="13"/>
      <c r="AG557" s="13"/>
      <c r="AH557" s="13"/>
      <c r="AI557" s="13"/>
      <c r="AJ557" s="13"/>
      <c r="AK557" s="44"/>
    </row>
    <row r="558" spans="1:38" ht="12.75" customHeight="1">
      <c r="A558" s="41">
        <v>467</v>
      </c>
      <c r="B558" s="10">
        <v>1153</v>
      </c>
      <c r="C558" s="10" t="s">
        <v>1647</v>
      </c>
      <c r="D558" s="16">
        <v>644.78</v>
      </c>
      <c r="E558" s="20" t="s">
        <v>1648</v>
      </c>
      <c r="F558" s="20" t="s">
        <v>1649</v>
      </c>
      <c r="G558" s="12">
        <v>41</v>
      </c>
      <c r="H558" s="12">
        <v>240</v>
      </c>
      <c r="I558" s="16">
        <f>ROUND(G558,0)</f>
        <v>41</v>
      </c>
      <c r="J558" s="16">
        <f>ROUND(H558,0)</f>
        <v>240</v>
      </c>
      <c r="K558" s="18" t="str">
        <f>IF(I558=J558,"TAM",(CONCATENATE(G558,"/",H558)))</f>
        <v>41/240</v>
      </c>
      <c r="L558" s="29">
        <f>644.78*41/240</f>
        <v>110.14991666666667</v>
      </c>
      <c r="M558" s="30">
        <v>0</v>
      </c>
      <c r="N558" s="16" t="str">
        <f>IF(M558=0,"0",(O558*M558))</f>
        <v>0</v>
      </c>
      <c r="O558" s="16">
        <f>IF(W558=1,L558,((D558*G558/H558)-P558)/(1-V558)-S558-T558)</f>
        <v>18.809916666666666</v>
      </c>
      <c r="P558" s="16">
        <v>91.34</v>
      </c>
      <c r="Q558" s="16">
        <f>IF(U558=0,"0",O558*U558)</f>
        <v>6.296665344513486</v>
      </c>
      <c r="R558" s="17">
        <f>IF(U558=0,(((D558*G558/H558)-P558-S558-T558)/(1-V558)),(((D558*G558/H558)-P558-S558-T558)/(1-V558))-((D558*G558/H558)-P558-S558-T558)*U558/(1-V558))</f>
        <v>12.513251322153181</v>
      </c>
      <c r="S558" s="12">
        <v>0</v>
      </c>
      <c r="T558" s="12">
        <v>0</v>
      </c>
      <c r="U558" s="12">
        <v>0.334752431714485</v>
      </c>
      <c r="V558" s="12">
        <v>0</v>
      </c>
      <c r="W558" s="28">
        <f>IF(V558&gt;U558,1,V558)</f>
        <v>0</v>
      </c>
      <c r="X558" s="12">
        <v>1</v>
      </c>
      <c r="Y558" s="16">
        <v>0</v>
      </c>
      <c r="Z558" s="42" t="str">
        <f>IF(OR(W558=1,W558=0),"0",(Q558-N558))</f>
        <v>0</v>
      </c>
      <c r="AA558" s="53" t="s">
        <v>1650</v>
      </c>
      <c r="AB558" s="16" t="s">
        <v>1652</v>
      </c>
      <c r="AC558" s="16">
        <v>12.51</v>
      </c>
      <c r="AD558" s="16">
        <v>1208.46</v>
      </c>
      <c r="AE558" s="16">
        <f>ROUND(AC558*100,0)</f>
        <v>1251</v>
      </c>
      <c r="AF558" s="16">
        <f>ROUND(AD558*100,0)</f>
        <v>120846</v>
      </c>
      <c r="AG558" s="19" t="str">
        <f>IF(AC558=AD558,"TAM",(CONCATENATE(AE558,"/",AF558)))</f>
        <v>1251/120846</v>
      </c>
      <c r="AH558" s="11" t="s">
        <v>50</v>
      </c>
      <c r="AI558" s="21" t="s">
        <v>50</v>
      </c>
      <c r="AJ558" s="21" t="s">
        <v>1651</v>
      </c>
      <c r="AK558" s="54" t="s">
        <v>50</v>
      </c>
      <c r="AL558" s="1" t="s">
        <v>50</v>
      </c>
    </row>
    <row r="559" spans="1:37" ht="12.75" customHeight="1">
      <c r="A559" s="43"/>
      <c r="B559" s="13"/>
      <c r="C559" s="13"/>
      <c r="D559" s="31"/>
      <c r="E559" s="14" t="s">
        <v>50</v>
      </c>
      <c r="F559" s="14"/>
      <c r="G559" s="14"/>
      <c r="H559" s="14"/>
      <c r="I559" s="31"/>
      <c r="J559" s="31"/>
      <c r="K559" s="15"/>
      <c r="L559" s="15"/>
      <c r="M559" s="15"/>
      <c r="N559" s="15"/>
      <c r="O559" s="15"/>
      <c r="P559" s="14"/>
      <c r="Q559" s="14"/>
      <c r="R559" s="14"/>
      <c r="S559" s="14"/>
      <c r="T559" s="14"/>
      <c r="U559" s="14"/>
      <c r="V559" s="14"/>
      <c r="W559" s="14"/>
      <c r="X559" s="14"/>
      <c r="Y559" s="13"/>
      <c r="Z559" s="44"/>
      <c r="AA559" s="43"/>
      <c r="AB559" s="13"/>
      <c r="AC559" s="13"/>
      <c r="AD559" s="13"/>
      <c r="AE559" s="13"/>
      <c r="AF559" s="13"/>
      <c r="AG559" s="13"/>
      <c r="AH559" s="13"/>
      <c r="AI559" s="13"/>
      <c r="AJ559" s="13"/>
      <c r="AK559" s="44"/>
    </row>
    <row r="560" spans="1:38" ht="12.75" customHeight="1">
      <c r="A560" s="41">
        <v>470</v>
      </c>
      <c r="B560" s="10">
        <v>1153</v>
      </c>
      <c r="C560" s="10" t="s">
        <v>1653</v>
      </c>
      <c r="D560" s="16">
        <v>644.78</v>
      </c>
      <c r="E560" s="20" t="s">
        <v>1654</v>
      </c>
      <c r="F560" s="20" t="s">
        <v>1655</v>
      </c>
      <c r="G560" s="12">
        <v>41</v>
      </c>
      <c r="H560" s="12">
        <v>240</v>
      </c>
      <c r="I560" s="16">
        <f>ROUND(G560,0)</f>
        <v>41</v>
      </c>
      <c r="J560" s="16">
        <f>ROUND(H560,0)</f>
        <v>240</v>
      </c>
      <c r="K560" s="18" t="str">
        <f>IF(I560=J560,"TAM",(CONCATENATE(G560,"/",H560)))</f>
        <v>41/240</v>
      </c>
      <c r="L560" s="29">
        <f>644.78*41/240</f>
        <v>110.14991666666667</v>
      </c>
      <c r="M560" s="30">
        <v>0</v>
      </c>
      <c r="N560" s="16" t="str">
        <f>IF(M560=0,"0",(O560*M560))</f>
        <v>0</v>
      </c>
      <c r="O560" s="16">
        <f>IF(W560=1,L560,((D560*G560/H560)-P560)/(1-V560)-S560-T560)</f>
        <v>18.799916666666675</v>
      </c>
      <c r="P560" s="16">
        <v>91.35</v>
      </c>
      <c r="Q560" s="16">
        <f>IF(U560=0,"0",O560*U560)</f>
        <v>6.293317820196345</v>
      </c>
      <c r="R560" s="17">
        <f>IF(U560=0,(((D560*G560/H560)-P560-S560-T560)/(1-V560)),(((D560*G560/H560)-P560-S560-T560)/(1-V560))-((D560*G560/H560)-P560-S560-T560)*U560/(1-V560))</f>
        <v>12.50659884647033</v>
      </c>
      <c r="S560" s="12">
        <v>0</v>
      </c>
      <c r="T560" s="12">
        <v>0</v>
      </c>
      <c r="U560" s="12">
        <v>0.334752431714485</v>
      </c>
      <c r="V560" s="12">
        <v>0</v>
      </c>
      <c r="W560" s="28">
        <f>IF(V560&gt;U560,1,V560)</f>
        <v>0</v>
      </c>
      <c r="X560" s="12">
        <v>1</v>
      </c>
      <c r="Y560" s="16">
        <v>0</v>
      </c>
      <c r="Z560" s="42" t="str">
        <f>IF(OR(W560=1,W560=0),"0",(Q560-N560))</f>
        <v>0</v>
      </c>
      <c r="AA560" s="53" t="s">
        <v>1656</v>
      </c>
      <c r="AB560" s="16" t="s">
        <v>1658</v>
      </c>
      <c r="AC560" s="16">
        <v>12.5</v>
      </c>
      <c r="AD560" s="16">
        <v>1208.46</v>
      </c>
      <c r="AE560" s="16">
        <f>ROUND(AC560*100,0)</f>
        <v>1250</v>
      </c>
      <c r="AF560" s="16">
        <f>ROUND(AD560*100,0)</f>
        <v>120846</v>
      </c>
      <c r="AG560" s="19" t="str">
        <f>IF(AC560=AD560,"TAM",(CONCATENATE(AE560,"/",AF560)))</f>
        <v>1250/120846</v>
      </c>
      <c r="AH560" s="11" t="s">
        <v>50</v>
      </c>
      <c r="AI560" s="21" t="s">
        <v>50</v>
      </c>
      <c r="AJ560" s="21" t="s">
        <v>1657</v>
      </c>
      <c r="AK560" s="54" t="s">
        <v>50</v>
      </c>
      <c r="AL560" s="1" t="s">
        <v>50</v>
      </c>
    </row>
    <row r="561" spans="1:37" ht="12.75" customHeight="1">
      <c r="A561" s="43"/>
      <c r="B561" s="13"/>
      <c r="C561" s="13"/>
      <c r="D561" s="31"/>
      <c r="E561" s="14" t="s">
        <v>50</v>
      </c>
      <c r="F561" s="14"/>
      <c r="G561" s="14"/>
      <c r="H561" s="14"/>
      <c r="I561" s="31"/>
      <c r="J561" s="31"/>
      <c r="K561" s="15"/>
      <c r="L561" s="15"/>
      <c r="M561" s="15"/>
      <c r="N561" s="15"/>
      <c r="O561" s="15"/>
      <c r="P561" s="14"/>
      <c r="Q561" s="14"/>
      <c r="R561" s="14"/>
      <c r="S561" s="14"/>
      <c r="T561" s="14"/>
      <c r="U561" s="14"/>
      <c r="V561" s="14"/>
      <c r="W561" s="14"/>
      <c r="X561" s="14"/>
      <c r="Y561" s="13"/>
      <c r="Z561" s="44"/>
      <c r="AA561" s="43"/>
      <c r="AB561" s="13"/>
      <c r="AC561" s="13"/>
      <c r="AD561" s="13"/>
      <c r="AE561" s="13"/>
      <c r="AF561" s="13"/>
      <c r="AG561" s="13"/>
      <c r="AH561" s="13"/>
      <c r="AI561" s="13"/>
      <c r="AJ561" s="13"/>
      <c r="AK561" s="44"/>
    </row>
    <row r="562" spans="1:38" ht="12.75" customHeight="1">
      <c r="A562" s="41">
        <v>468</v>
      </c>
      <c r="B562" s="10">
        <v>1153</v>
      </c>
      <c r="C562" s="10" t="s">
        <v>1659</v>
      </c>
      <c r="D562" s="16">
        <v>644.78</v>
      </c>
      <c r="E562" s="20" t="s">
        <v>1660</v>
      </c>
      <c r="F562" s="20" t="s">
        <v>1661</v>
      </c>
      <c r="G562" s="12">
        <v>41</v>
      </c>
      <c r="H562" s="12">
        <v>240</v>
      </c>
      <c r="I562" s="16">
        <f>ROUND(G562,0)</f>
        <v>41</v>
      </c>
      <c r="J562" s="16">
        <f>ROUND(H562,0)</f>
        <v>240</v>
      </c>
      <c r="K562" s="18" t="str">
        <f>IF(I562=J562,"TAM",(CONCATENATE(G562,"/",H562)))</f>
        <v>41/240</v>
      </c>
      <c r="L562" s="29">
        <f>644.78*41/240</f>
        <v>110.14991666666667</v>
      </c>
      <c r="M562" s="30">
        <v>0</v>
      </c>
      <c r="N562" s="16" t="str">
        <f>IF(M562=0,"0",(O562*M562))</f>
        <v>0</v>
      </c>
      <c r="O562" s="16">
        <f>IF(W562=1,L562,((D562*G562/H562)-P562)/(1-V562)-S562-T562)</f>
        <v>18.809916666666666</v>
      </c>
      <c r="P562" s="16">
        <v>91.34</v>
      </c>
      <c r="Q562" s="16">
        <f>IF(U562=0,"0",O562*U562)</f>
        <v>6.296665344513486</v>
      </c>
      <c r="R562" s="17">
        <f>IF(U562=0,(((D562*G562/H562)-P562-S562-T562)/(1-V562)),(((D562*G562/H562)-P562-S562-T562)/(1-V562))-((D562*G562/H562)-P562-S562-T562)*U562/(1-V562))</f>
        <v>12.513251322153181</v>
      </c>
      <c r="S562" s="12">
        <v>0</v>
      </c>
      <c r="T562" s="12">
        <v>0</v>
      </c>
      <c r="U562" s="12">
        <v>0.334752431714485</v>
      </c>
      <c r="V562" s="12">
        <v>0</v>
      </c>
      <c r="W562" s="28">
        <f>IF(V562&gt;U562,1,V562)</f>
        <v>0</v>
      </c>
      <c r="X562" s="12">
        <v>1</v>
      </c>
      <c r="Y562" s="16">
        <v>0</v>
      </c>
      <c r="Z562" s="42" t="str">
        <f>IF(OR(W562=1,W562=0),"0",(Q562-N562))</f>
        <v>0</v>
      </c>
      <c r="AA562" s="53" t="s">
        <v>1662</v>
      </c>
      <c r="AB562" s="16" t="s">
        <v>1664</v>
      </c>
      <c r="AC562" s="16">
        <v>12.51</v>
      </c>
      <c r="AD562" s="16">
        <v>1208.46</v>
      </c>
      <c r="AE562" s="16">
        <f>ROUND(AC562*100,0)</f>
        <v>1251</v>
      </c>
      <c r="AF562" s="16">
        <f>ROUND(AD562*100,0)</f>
        <v>120846</v>
      </c>
      <c r="AG562" s="19" t="str">
        <f>IF(AC562=AD562,"TAM",(CONCATENATE(AE562,"/",AF562)))</f>
        <v>1251/120846</v>
      </c>
      <c r="AH562" s="11" t="s">
        <v>50</v>
      </c>
      <c r="AI562" s="21" t="s">
        <v>50</v>
      </c>
      <c r="AJ562" s="21" t="s">
        <v>1663</v>
      </c>
      <c r="AK562" s="54" t="s">
        <v>50</v>
      </c>
      <c r="AL562" s="1" t="s">
        <v>50</v>
      </c>
    </row>
    <row r="563" spans="1:37" ht="12.75" customHeight="1">
      <c r="A563" s="43"/>
      <c r="B563" s="13"/>
      <c r="C563" s="13"/>
      <c r="D563" s="31"/>
      <c r="E563" s="14" t="s">
        <v>50</v>
      </c>
      <c r="F563" s="14"/>
      <c r="G563" s="14"/>
      <c r="H563" s="14"/>
      <c r="I563" s="31"/>
      <c r="J563" s="31"/>
      <c r="K563" s="15"/>
      <c r="L563" s="15"/>
      <c r="M563" s="15"/>
      <c r="N563" s="15"/>
      <c r="O563" s="15"/>
      <c r="P563" s="14"/>
      <c r="Q563" s="14"/>
      <c r="R563" s="14"/>
      <c r="S563" s="14"/>
      <c r="T563" s="14"/>
      <c r="U563" s="14"/>
      <c r="V563" s="14"/>
      <c r="W563" s="14"/>
      <c r="X563" s="14"/>
      <c r="Y563" s="13"/>
      <c r="Z563" s="44"/>
      <c r="AA563" s="43"/>
      <c r="AB563" s="13"/>
      <c r="AC563" s="13"/>
      <c r="AD563" s="13"/>
      <c r="AE563" s="13"/>
      <c r="AF563" s="13"/>
      <c r="AG563" s="13"/>
      <c r="AH563" s="13"/>
      <c r="AI563" s="13"/>
      <c r="AJ563" s="13"/>
      <c r="AK563" s="44"/>
    </row>
    <row r="564" spans="1:38" ht="12.75" customHeight="1">
      <c r="A564" s="41">
        <v>469</v>
      </c>
      <c r="B564" s="10">
        <v>1153</v>
      </c>
      <c r="C564" s="10" t="s">
        <v>1665</v>
      </c>
      <c r="D564" s="16">
        <v>644.78</v>
      </c>
      <c r="E564" s="20" t="s">
        <v>1666</v>
      </c>
      <c r="F564" s="20" t="s">
        <v>1667</v>
      </c>
      <c r="G564" s="12">
        <v>41</v>
      </c>
      <c r="H564" s="12">
        <v>240</v>
      </c>
      <c r="I564" s="16">
        <f>ROUND(G564,0)</f>
        <v>41</v>
      </c>
      <c r="J564" s="16">
        <f>ROUND(H564,0)</f>
        <v>240</v>
      </c>
      <c r="K564" s="18" t="str">
        <f>IF(I564=J564,"TAM",(CONCATENATE(G564,"/",H564)))</f>
        <v>41/240</v>
      </c>
      <c r="L564" s="29">
        <f>644.78*41/240</f>
        <v>110.14991666666667</v>
      </c>
      <c r="M564" s="30">
        <v>0</v>
      </c>
      <c r="N564" s="16" t="str">
        <f>IF(M564=0,"0",(O564*M564))</f>
        <v>0</v>
      </c>
      <c r="O564" s="16">
        <f>IF(W564=1,L564,((D564*G564/H564)-P564)/(1-V564)-S564-T564)</f>
        <v>18.809916666666666</v>
      </c>
      <c r="P564" s="16">
        <v>91.34</v>
      </c>
      <c r="Q564" s="16">
        <f>IF(U564=0,"0",O564*U564)</f>
        <v>6.296665344513486</v>
      </c>
      <c r="R564" s="17">
        <f>IF(U564=0,(((D564*G564/H564)-P564-S564-T564)/(1-V564)),(((D564*G564/H564)-P564-S564-T564)/(1-V564))-((D564*G564/H564)-P564-S564-T564)*U564/(1-V564))</f>
        <v>12.513251322153181</v>
      </c>
      <c r="S564" s="12">
        <v>0</v>
      </c>
      <c r="T564" s="12">
        <v>0</v>
      </c>
      <c r="U564" s="12">
        <v>0.334752431714485</v>
      </c>
      <c r="V564" s="12">
        <v>0</v>
      </c>
      <c r="W564" s="28">
        <f>IF(V564&gt;U564,1,V564)</f>
        <v>0</v>
      </c>
      <c r="X564" s="12">
        <v>1</v>
      </c>
      <c r="Y564" s="16">
        <v>0</v>
      </c>
      <c r="Z564" s="42" t="str">
        <f>IF(OR(W564=1,W564=0),"0",(Q564-N564))</f>
        <v>0</v>
      </c>
      <c r="AA564" s="53" t="s">
        <v>1668</v>
      </c>
      <c r="AB564" s="16" t="s">
        <v>1670</v>
      </c>
      <c r="AC564" s="16">
        <v>12.51</v>
      </c>
      <c r="AD564" s="16">
        <v>1208.46</v>
      </c>
      <c r="AE564" s="16">
        <f>ROUND(AC564*100,0)</f>
        <v>1251</v>
      </c>
      <c r="AF564" s="16">
        <f>ROUND(AD564*100,0)</f>
        <v>120846</v>
      </c>
      <c r="AG564" s="19" t="str">
        <f>IF(AC564=AD564,"TAM",(CONCATENATE(AE564,"/",AF564)))</f>
        <v>1251/120846</v>
      </c>
      <c r="AH564" s="11" t="s">
        <v>50</v>
      </c>
      <c r="AI564" s="21" t="s">
        <v>50</v>
      </c>
      <c r="AJ564" s="21" t="s">
        <v>1669</v>
      </c>
      <c r="AK564" s="54" t="s">
        <v>50</v>
      </c>
      <c r="AL564" s="1" t="s">
        <v>50</v>
      </c>
    </row>
    <row r="565" spans="1:37" ht="12.75" customHeight="1">
      <c r="A565" s="43"/>
      <c r="B565" s="13"/>
      <c r="C565" s="13"/>
      <c r="D565" s="31"/>
      <c r="E565" s="14" t="s">
        <v>50</v>
      </c>
      <c r="F565" s="14"/>
      <c r="G565" s="14"/>
      <c r="H565" s="14"/>
      <c r="I565" s="31"/>
      <c r="J565" s="31"/>
      <c r="K565" s="15"/>
      <c r="L565" s="15"/>
      <c r="M565" s="15"/>
      <c r="N565" s="15"/>
      <c r="O565" s="15"/>
      <c r="P565" s="14"/>
      <c r="Q565" s="14"/>
      <c r="R565" s="14"/>
      <c r="S565" s="14"/>
      <c r="T565" s="14"/>
      <c r="U565" s="14"/>
      <c r="V565" s="14"/>
      <c r="W565" s="14"/>
      <c r="X565" s="14"/>
      <c r="Y565" s="13"/>
      <c r="Z565" s="44"/>
      <c r="AA565" s="43"/>
      <c r="AB565" s="13"/>
      <c r="AC565" s="13"/>
      <c r="AD565" s="13"/>
      <c r="AE565" s="13"/>
      <c r="AF565" s="13"/>
      <c r="AG565" s="13"/>
      <c r="AH565" s="13"/>
      <c r="AI565" s="13"/>
      <c r="AJ565" s="13"/>
      <c r="AK565" s="44"/>
    </row>
    <row r="566" spans="1:38" ht="12.75" customHeight="1">
      <c r="A566" s="41">
        <v>121</v>
      </c>
      <c r="B566" s="10">
        <v>1040</v>
      </c>
      <c r="C566" s="10" t="s">
        <v>1671</v>
      </c>
      <c r="D566" s="16">
        <v>386.82</v>
      </c>
      <c r="E566" s="20" t="s">
        <v>1672</v>
      </c>
      <c r="F566" s="20" t="s">
        <v>1673</v>
      </c>
      <c r="G566" s="12">
        <v>1</v>
      </c>
      <c r="H566" s="12">
        <v>2</v>
      </c>
      <c r="I566" s="16">
        <f>ROUND(G566,0)</f>
        <v>1</v>
      </c>
      <c r="J566" s="16">
        <f>ROUND(H566,0)</f>
        <v>2</v>
      </c>
      <c r="K566" s="18" t="str">
        <f>IF(I566=J566,"TAM",(CONCATENATE(G566,"/",H566)))</f>
        <v>1/2</v>
      </c>
      <c r="L566" s="29">
        <f>386.82*1/2</f>
        <v>193.41</v>
      </c>
      <c r="M566" s="30">
        <v>0</v>
      </c>
      <c r="N566" s="16" t="str">
        <f>IF(M566=0,"0",(O566*M566))</f>
        <v>0</v>
      </c>
      <c r="O566" s="16">
        <f>IF(W566=1,L566,((D566*G566/H566)-P566)/(1-V566)-S566-T566)</f>
        <v>193.41</v>
      </c>
      <c r="P566" s="16">
        <v>0</v>
      </c>
      <c r="Q566" s="16">
        <f>IF(U566=0,"0",O566*U566)</f>
        <v>64.74446781789854</v>
      </c>
      <c r="R566" s="17">
        <f>IF(U566=0,(((D566*G566/H566)-P566-S566-T566)/(1-V566)),(((D566*G566/H566)-P566-S566-T566)/(1-V566))-((D566*G566/H566)-P566-S566-T566)*U566/(1-V566))</f>
        <v>128.66553218210146</v>
      </c>
      <c r="S566" s="12">
        <v>0</v>
      </c>
      <c r="T566" s="12">
        <v>0</v>
      </c>
      <c r="U566" s="12">
        <v>0.334752431714485</v>
      </c>
      <c r="V566" s="12">
        <v>0</v>
      </c>
      <c r="W566" s="28">
        <f>IF(V566&gt;U566,1,V566)</f>
        <v>0</v>
      </c>
      <c r="X566" s="12">
        <v>1</v>
      </c>
      <c r="Y566" s="16">
        <v>0</v>
      </c>
      <c r="Z566" s="42" t="str">
        <f>IF(OR(W566=1,W566=0),"0",(Q566-N566))</f>
        <v>0</v>
      </c>
      <c r="AA566" s="53" t="s">
        <v>1675</v>
      </c>
      <c r="AB566" s="16" t="s">
        <v>1677</v>
      </c>
      <c r="AC566" s="16">
        <v>128.67</v>
      </c>
      <c r="AD566" s="16">
        <v>470.01</v>
      </c>
      <c r="AE566" s="16">
        <f>ROUND(AC566*100,0)</f>
        <v>12867</v>
      </c>
      <c r="AF566" s="16">
        <f>ROUND(AD566*100,0)</f>
        <v>47001</v>
      </c>
      <c r="AG566" s="19" t="str">
        <f>IF(AC566=AD566,"TAM",(CONCATENATE(AE566,"/",AF566)))</f>
        <v>12867/47001</v>
      </c>
      <c r="AH566" s="11" t="s">
        <v>50</v>
      </c>
      <c r="AI566" s="21" t="s">
        <v>50</v>
      </c>
      <c r="AJ566" s="21" t="s">
        <v>1676</v>
      </c>
      <c r="AK566" s="54" t="s">
        <v>50</v>
      </c>
      <c r="AL566" s="1" t="s">
        <v>50</v>
      </c>
    </row>
    <row r="567" spans="1:37" ht="41.25" customHeight="1">
      <c r="A567" s="43"/>
      <c r="B567" s="13"/>
      <c r="C567" s="13"/>
      <c r="D567" s="31"/>
      <c r="E567" s="34" t="s">
        <v>1674</v>
      </c>
      <c r="F567" s="14"/>
      <c r="G567" s="14"/>
      <c r="H567" s="14"/>
      <c r="I567" s="31"/>
      <c r="J567" s="31"/>
      <c r="K567" s="15"/>
      <c r="L567" s="15"/>
      <c r="M567" s="15"/>
      <c r="N567" s="15"/>
      <c r="O567" s="15"/>
      <c r="P567" s="14"/>
      <c r="Q567" s="14"/>
      <c r="R567" s="14"/>
      <c r="S567" s="14"/>
      <c r="T567" s="14"/>
      <c r="U567" s="14"/>
      <c r="V567" s="14"/>
      <c r="W567" s="14"/>
      <c r="X567" s="14"/>
      <c r="Y567" s="13"/>
      <c r="Z567" s="44"/>
      <c r="AA567" s="43"/>
      <c r="AB567" s="13"/>
      <c r="AC567" s="13"/>
      <c r="AD567" s="13"/>
      <c r="AE567" s="13"/>
      <c r="AF567" s="13"/>
      <c r="AG567" s="13"/>
      <c r="AH567" s="13"/>
      <c r="AI567" s="13"/>
      <c r="AJ567" s="13"/>
      <c r="AK567" s="44"/>
    </row>
    <row r="568" spans="1:38" ht="12.75" customHeight="1">
      <c r="A568" s="41">
        <v>127</v>
      </c>
      <c r="B568" s="10">
        <v>1040</v>
      </c>
      <c r="C568" s="10" t="s">
        <v>1678</v>
      </c>
      <c r="D568" s="16">
        <v>386.82</v>
      </c>
      <c r="E568" s="20" t="s">
        <v>1679</v>
      </c>
      <c r="F568" s="20" t="s">
        <v>1680</v>
      </c>
      <c r="G568" s="12">
        <v>1</v>
      </c>
      <c r="H568" s="12">
        <v>4</v>
      </c>
      <c r="I568" s="16">
        <f>ROUND(G568,0)</f>
        <v>1</v>
      </c>
      <c r="J568" s="16">
        <f>ROUND(H568,0)</f>
        <v>4</v>
      </c>
      <c r="K568" s="18" t="str">
        <f>IF(I568=J568,"TAM",(CONCATENATE(G568,"/",H568)))</f>
        <v>1/4</v>
      </c>
      <c r="L568" s="29">
        <f>386.82*1/4</f>
        <v>96.705</v>
      </c>
      <c r="M568" s="30">
        <v>0</v>
      </c>
      <c r="N568" s="16" t="str">
        <f>IF(M568=0,"0",(O568*M568))</f>
        <v>0</v>
      </c>
      <c r="O568" s="16">
        <f>IF(W568=1,L568,((D568*G568/H568)-P568)/(1-V568)-S568-T568)</f>
        <v>96.705</v>
      </c>
      <c r="P568" s="16">
        <v>0</v>
      </c>
      <c r="Q568" s="16">
        <f>IF(U568=0,"0",O568*U568)</f>
        <v>32.37223390894927</v>
      </c>
      <c r="R568" s="17">
        <f>IF(U568=0,(((D568*G568/H568)-P568-S568-T568)/(1-V568)),(((D568*G568/H568)-P568-S568-T568)/(1-V568))-((D568*G568/H568)-P568-S568-T568)*U568/(1-V568))</f>
        <v>64.33276609105073</v>
      </c>
      <c r="S568" s="12">
        <v>0</v>
      </c>
      <c r="T568" s="12">
        <v>0</v>
      </c>
      <c r="U568" s="12">
        <v>0.334752431714485</v>
      </c>
      <c r="V568" s="12">
        <v>0</v>
      </c>
      <c r="W568" s="28">
        <f>IF(V568&gt;U568,1,V568)</f>
        <v>0</v>
      </c>
      <c r="X568" s="12">
        <v>1</v>
      </c>
      <c r="Y568" s="16">
        <v>0</v>
      </c>
      <c r="Z568" s="42" t="str">
        <f>IF(OR(W568=1,W568=0),"0",(Q568-N568))</f>
        <v>0</v>
      </c>
      <c r="AA568" s="53" t="s">
        <v>1681</v>
      </c>
      <c r="AB568" s="16" t="s">
        <v>1683</v>
      </c>
      <c r="AC568" s="16">
        <v>64.33</v>
      </c>
      <c r="AD568" s="16">
        <v>470.01</v>
      </c>
      <c r="AE568" s="16">
        <f>ROUND(AC568*100,0)</f>
        <v>6433</v>
      </c>
      <c r="AF568" s="16">
        <f>ROUND(AD568*100,0)</f>
        <v>47001</v>
      </c>
      <c r="AG568" s="19" t="str">
        <f>IF(AC568=AD568,"TAM",(CONCATENATE(AE568,"/",AF568)))</f>
        <v>6433/47001</v>
      </c>
      <c r="AH568" s="11" t="s">
        <v>50</v>
      </c>
      <c r="AI568" s="21" t="s">
        <v>50</v>
      </c>
      <c r="AJ568" s="21" t="s">
        <v>1682</v>
      </c>
      <c r="AK568" s="54" t="s">
        <v>50</v>
      </c>
      <c r="AL568" s="1" t="s">
        <v>50</v>
      </c>
    </row>
    <row r="569" spans="1:37" ht="12.75" customHeight="1">
      <c r="A569" s="43"/>
      <c r="B569" s="13"/>
      <c r="C569" s="13"/>
      <c r="D569" s="31"/>
      <c r="E569" s="14" t="s">
        <v>50</v>
      </c>
      <c r="F569" s="14"/>
      <c r="G569" s="14"/>
      <c r="H569" s="14"/>
      <c r="I569" s="31"/>
      <c r="J569" s="31"/>
      <c r="K569" s="15"/>
      <c r="L569" s="15"/>
      <c r="M569" s="15"/>
      <c r="N569" s="15"/>
      <c r="O569" s="15"/>
      <c r="P569" s="14"/>
      <c r="Q569" s="14"/>
      <c r="R569" s="14"/>
      <c r="S569" s="14"/>
      <c r="T569" s="14"/>
      <c r="U569" s="14"/>
      <c r="V569" s="14"/>
      <c r="W569" s="14"/>
      <c r="X569" s="14"/>
      <c r="Y569" s="13"/>
      <c r="Z569" s="44"/>
      <c r="AA569" s="43"/>
      <c r="AB569" s="13"/>
      <c r="AC569" s="13"/>
      <c r="AD569" s="13"/>
      <c r="AE569" s="13"/>
      <c r="AF569" s="13"/>
      <c r="AG569" s="13"/>
      <c r="AH569" s="13"/>
      <c r="AI569" s="13"/>
      <c r="AJ569" s="13"/>
      <c r="AK569" s="44"/>
    </row>
    <row r="570" spans="1:38" ht="12.75" customHeight="1">
      <c r="A570" s="41">
        <v>126</v>
      </c>
      <c r="B570" s="10">
        <v>1040</v>
      </c>
      <c r="C570" s="10" t="s">
        <v>1684</v>
      </c>
      <c r="D570" s="16">
        <v>386.82</v>
      </c>
      <c r="E570" s="20" t="s">
        <v>1685</v>
      </c>
      <c r="F570" s="20" t="s">
        <v>1686</v>
      </c>
      <c r="G570" s="12">
        <v>1</v>
      </c>
      <c r="H570" s="12">
        <v>4</v>
      </c>
      <c r="I570" s="16">
        <f>ROUND(G570,0)</f>
        <v>1</v>
      </c>
      <c r="J570" s="16">
        <f>ROUND(H570,0)</f>
        <v>4</v>
      </c>
      <c r="K570" s="18" t="str">
        <f>IF(I570=J570,"TAM",(CONCATENATE(G570,"/",H570)))</f>
        <v>1/4</v>
      </c>
      <c r="L570" s="29">
        <f>386.82*1/4</f>
        <v>96.705</v>
      </c>
      <c r="M570" s="30">
        <v>0</v>
      </c>
      <c r="N570" s="16" t="str">
        <f>IF(M570=0,"0",(O570*M570))</f>
        <v>0</v>
      </c>
      <c r="O570" s="16">
        <f>IF(W570=1,L570,((D570*G570/H570)-P570)/(1-V570)-S570-T570)</f>
        <v>96.705</v>
      </c>
      <c r="P570" s="16">
        <v>0</v>
      </c>
      <c r="Q570" s="16">
        <f>IF(U570=0,"0",O570*U570)</f>
        <v>32.37223390894927</v>
      </c>
      <c r="R570" s="17">
        <f>IF(U570=0,(((D570*G570/H570)-P570-S570-T570)/(1-V570)),(((D570*G570/H570)-P570-S570-T570)/(1-V570))-((D570*G570/H570)-P570-S570-T570)*U570/(1-V570))</f>
        <v>64.33276609105073</v>
      </c>
      <c r="S570" s="12">
        <v>0</v>
      </c>
      <c r="T570" s="12">
        <v>0</v>
      </c>
      <c r="U570" s="12">
        <v>0.334752431714485</v>
      </c>
      <c r="V570" s="12">
        <v>0</v>
      </c>
      <c r="W570" s="28">
        <f>IF(V570&gt;U570,1,V570)</f>
        <v>0</v>
      </c>
      <c r="X570" s="12">
        <v>1</v>
      </c>
      <c r="Y570" s="16">
        <v>0</v>
      </c>
      <c r="Z570" s="42" t="str">
        <f>IF(OR(W570=1,W570=0),"0",(Q570-N570))</f>
        <v>0</v>
      </c>
      <c r="AA570" s="53" t="s">
        <v>1687</v>
      </c>
      <c r="AB570" s="16" t="s">
        <v>1689</v>
      </c>
      <c r="AC570" s="16">
        <v>64.33</v>
      </c>
      <c r="AD570" s="16">
        <v>470.01</v>
      </c>
      <c r="AE570" s="16">
        <f>ROUND(AC570*100,0)</f>
        <v>6433</v>
      </c>
      <c r="AF570" s="16">
        <f>ROUND(AD570*100,0)</f>
        <v>47001</v>
      </c>
      <c r="AG570" s="19" t="str">
        <f>IF(AC570=AD570,"TAM",(CONCATENATE(AE570,"/",AF570)))</f>
        <v>6433/47001</v>
      </c>
      <c r="AH570" s="11" t="s">
        <v>50</v>
      </c>
      <c r="AI570" s="21" t="s">
        <v>50</v>
      </c>
      <c r="AJ570" s="21" t="s">
        <v>1688</v>
      </c>
      <c r="AK570" s="54" t="s">
        <v>50</v>
      </c>
      <c r="AL570" s="1" t="s">
        <v>50</v>
      </c>
    </row>
    <row r="571" spans="1:37" ht="12.75" customHeight="1">
      <c r="A571" s="43"/>
      <c r="B571" s="13"/>
      <c r="C571" s="13"/>
      <c r="D571" s="31"/>
      <c r="E571" s="14" t="s">
        <v>50</v>
      </c>
      <c r="F571" s="14"/>
      <c r="G571" s="14"/>
      <c r="H571" s="14"/>
      <c r="I571" s="31"/>
      <c r="J571" s="31"/>
      <c r="K571" s="15"/>
      <c r="L571" s="15"/>
      <c r="M571" s="15"/>
      <c r="N571" s="15"/>
      <c r="O571" s="15"/>
      <c r="P571" s="14"/>
      <c r="Q571" s="14"/>
      <c r="R571" s="14"/>
      <c r="S571" s="14"/>
      <c r="T571" s="14"/>
      <c r="U571" s="14"/>
      <c r="V571" s="14"/>
      <c r="W571" s="14"/>
      <c r="X571" s="14"/>
      <c r="Y571" s="13"/>
      <c r="Z571" s="44"/>
      <c r="AA571" s="43"/>
      <c r="AB571" s="13"/>
      <c r="AC571" s="13"/>
      <c r="AD571" s="13"/>
      <c r="AE571" s="13"/>
      <c r="AF571" s="13"/>
      <c r="AG571" s="13"/>
      <c r="AH571" s="13"/>
      <c r="AI571" s="13"/>
      <c r="AJ571" s="13"/>
      <c r="AK571" s="44"/>
    </row>
    <row r="572" spans="1:38" ht="12.75" customHeight="1">
      <c r="A572" s="41">
        <v>214</v>
      </c>
      <c r="B572" s="10">
        <v>1067</v>
      </c>
      <c r="C572" s="10" t="s">
        <v>1690</v>
      </c>
      <c r="D572" s="16">
        <v>103.4</v>
      </c>
      <c r="E572" s="20" t="s">
        <v>1691</v>
      </c>
      <c r="F572" s="20" t="s">
        <v>1692</v>
      </c>
      <c r="G572" s="12">
        <v>1</v>
      </c>
      <c r="H572" s="12">
        <v>1</v>
      </c>
      <c r="I572" s="16">
        <f>ROUND(G572,0)</f>
        <v>1</v>
      </c>
      <c r="J572" s="16">
        <f>ROUND(H572,0)</f>
        <v>1</v>
      </c>
      <c r="K572" s="18" t="str">
        <f>IF(I572=J572,"TAM",(CONCATENATE(G572,"/",H572)))</f>
        <v>TAM</v>
      </c>
      <c r="L572" s="29">
        <f>103.4*1/1</f>
        <v>103.4</v>
      </c>
      <c r="M572" s="30">
        <v>0</v>
      </c>
      <c r="N572" s="16" t="str">
        <f>IF(M572=0,"0",(O572*M572))</f>
        <v>0</v>
      </c>
      <c r="O572" s="16">
        <f>IF(W572=1,L572,((D572*G572/H572)-P572)/(1-V572)-S572-T572)</f>
        <v>103.4</v>
      </c>
      <c r="P572" s="16">
        <v>0</v>
      </c>
      <c r="Q572" s="16">
        <f>IF(U572=0,"0",O572*U572)</f>
        <v>34.61340143927775</v>
      </c>
      <c r="R572" s="17">
        <f>IF(U572=0,(((D572*G572/H572)-P572-S572-T572)/(1-V572)),(((D572*G572/H572)-P572-S572-T572)/(1-V572))-((D572*G572/H572)-P572-S572-T572)*U572/(1-V572))</f>
        <v>68.78659856072225</v>
      </c>
      <c r="S572" s="12">
        <v>0</v>
      </c>
      <c r="T572" s="12">
        <v>0</v>
      </c>
      <c r="U572" s="12">
        <v>0.334752431714485</v>
      </c>
      <c r="V572" s="12">
        <v>0</v>
      </c>
      <c r="W572" s="28">
        <f>IF(V572&gt;U572,1,V572)</f>
        <v>0</v>
      </c>
      <c r="X572" s="12">
        <v>1</v>
      </c>
      <c r="Y572" s="16">
        <v>0</v>
      </c>
      <c r="Z572" s="42" t="str">
        <f>IF(OR(W572=1,W572=0),"0",(Q572-N572))</f>
        <v>0</v>
      </c>
      <c r="AA572" s="53" t="s">
        <v>1694</v>
      </c>
      <c r="AB572" s="16" t="s">
        <v>1696</v>
      </c>
      <c r="AC572" s="16">
        <v>65</v>
      </c>
      <c r="AD572" s="16">
        <v>470.01</v>
      </c>
      <c r="AE572" s="16">
        <f>ROUND(AC572*100,0)</f>
        <v>6500</v>
      </c>
      <c r="AF572" s="16">
        <f>ROUND(AD572*100,0)</f>
        <v>47001</v>
      </c>
      <c r="AG572" s="19" t="str">
        <f>IF(AC572=AD572,"TAM",(CONCATENATE(AE572,"/",AF572)))</f>
        <v>6500/47001</v>
      </c>
      <c r="AH572" s="11" t="s">
        <v>50</v>
      </c>
      <c r="AI572" s="21" t="s">
        <v>50</v>
      </c>
      <c r="AJ572" s="21" t="s">
        <v>1695</v>
      </c>
      <c r="AK572" s="54" t="s">
        <v>50</v>
      </c>
      <c r="AL572" s="1" t="s">
        <v>50</v>
      </c>
    </row>
    <row r="573" spans="1:37" ht="32.25" customHeight="1">
      <c r="A573" s="43"/>
      <c r="B573" s="13"/>
      <c r="C573" s="13"/>
      <c r="D573" s="31"/>
      <c r="E573" s="34" t="s">
        <v>1693</v>
      </c>
      <c r="F573" s="14"/>
      <c r="G573" s="14"/>
      <c r="H573" s="14"/>
      <c r="I573" s="31"/>
      <c r="J573" s="31"/>
      <c r="K573" s="15"/>
      <c r="L573" s="15"/>
      <c r="M573" s="15"/>
      <c r="N573" s="15"/>
      <c r="O573" s="15"/>
      <c r="P573" s="14"/>
      <c r="Q573" s="14"/>
      <c r="R573" s="14"/>
      <c r="S573" s="14"/>
      <c r="T573" s="14"/>
      <c r="U573" s="14"/>
      <c r="V573" s="14"/>
      <c r="W573" s="14"/>
      <c r="X573" s="14"/>
      <c r="Y573" s="13"/>
      <c r="Z573" s="44"/>
      <c r="AA573" s="43"/>
      <c r="AB573" s="13"/>
      <c r="AC573" s="13"/>
      <c r="AD573" s="13"/>
      <c r="AE573" s="13"/>
      <c r="AF573" s="13"/>
      <c r="AG573" s="13"/>
      <c r="AH573" s="13"/>
      <c r="AI573" s="13"/>
      <c r="AJ573" s="13"/>
      <c r="AK573" s="44"/>
    </row>
    <row r="574" spans="1:38" ht="12.75" customHeight="1">
      <c r="A574" s="41">
        <v>217</v>
      </c>
      <c r="B574" s="10">
        <v>1068</v>
      </c>
      <c r="C574" s="10" t="s">
        <v>1697</v>
      </c>
      <c r="D574" s="16">
        <v>221.99</v>
      </c>
      <c r="E574" s="20" t="s">
        <v>1698</v>
      </c>
      <c r="F574" s="20" t="s">
        <v>1699</v>
      </c>
      <c r="G574" s="12">
        <v>1</v>
      </c>
      <c r="H574" s="12">
        <v>1</v>
      </c>
      <c r="I574" s="16">
        <f>ROUND(G574,0)</f>
        <v>1</v>
      </c>
      <c r="J574" s="16">
        <f>ROUND(H574,0)</f>
        <v>1</v>
      </c>
      <c r="K574" s="18" t="str">
        <f>IF(I574=J574,"TAM",(CONCATENATE(G574,"/",H574)))</f>
        <v>TAM</v>
      </c>
      <c r="L574" s="29">
        <f>221.99*1/1</f>
        <v>221.99</v>
      </c>
      <c r="M574" s="30">
        <v>0</v>
      </c>
      <c r="N574" s="16" t="str">
        <f>IF(M574=0,"0",(O574*M574))</f>
        <v>0</v>
      </c>
      <c r="O574" s="16">
        <f>IF(W574=1,L574,((D574*G574/H574)-P574)/(1-V574)-S574-T574)</f>
        <v>221.99</v>
      </c>
      <c r="P574" s="16">
        <v>0</v>
      </c>
      <c r="Q574" s="16">
        <f>IF(U574=0,"0",O574*U574)</f>
        <v>74.31169231629852</v>
      </c>
      <c r="R574" s="17">
        <f>IF(U574=0,(((D574*G574/H574)-P574-S574-T574)/(1-V574)),(((D574*G574/H574)-P574-S574-T574)/(1-V574))-((D574*G574/H574)-P574-S574-T574)*U574/(1-V574))</f>
        <v>147.6783076837015</v>
      </c>
      <c r="S574" s="12">
        <v>0</v>
      </c>
      <c r="T574" s="12">
        <v>0</v>
      </c>
      <c r="U574" s="12">
        <v>0.334752431714485</v>
      </c>
      <c r="V574" s="12">
        <v>0</v>
      </c>
      <c r="W574" s="28">
        <f>IF(V574&gt;U574,1,V574)</f>
        <v>0</v>
      </c>
      <c r="X574" s="12">
        <v>1</v>
      </c>
      <c r="Y574" s="16">
        <v>0</v>
      </c>
      <c r="Z574" s="42" t="str">
        <f>IF(OR(W574=1,W574=0),"0",(Q574-N574))</f>
        <v>0</v>
      </c>
      <c r="AA574" s="53" t="s">
        <v>1700</v>
      </c>
      <c r="AB574" s="16" t="s">
        <v>1702</v>
      </c>
      <c r="AC574" s="16">
        <v>147.68</v>
      </c>
      <c r="AD574" s="16">
        <v>470.01</v>
      </c>
      <c r="AE574" s="16">
        <f>ROUND(AC574*100,0)</f>
        <v>14768</v>
      </c>
      <c r="AF574" s="16">
        <f>ROUND(AD574*100,0)</f>
        <v>47001</v>
      </c>
      <c r="AG574" s="19" t="str">
        <f>IF(AC574=AD574,"TAM",(CONCATENATE(AE574,"/",AF574)))</f>
        <v>14768/47001</v>
      </c>
      <c r="AH574" s="11" t="s">
        <v>50</v>
      </c>
      <c r="AI574" s="21" t="s">
        <v>50</v>
      </c>
      <c r="AJ574" s="21" t="s">
        <v>1701</v>
      </c>
      <c r="AK574" s="54" t="s">
        <v>50</v>
      </c>
      <c r="AL574" s="1" t="s">
        <v>50</v>
      </c>
    </row>
    <row r="575" spans="1:37" ht="12.75" customHeight="1">
      <c r="A575" s="43"/>
      <c r="B575" s="13"/>
      <c r="C575" s="13"/>
      <c r="D575" s="31"/>
      <c r="E575" s="14" t="s">
        <v>50</v>
      </c>
      <c r="F575" s="14"/>
      <c r="G575" s="14"/>
      <c r="H575" s="14"/>
      <c r="I575" s="31"/>
      <c r="J575" s="31"/>
      <c r="K575" s="15"/>
      <c r="L575" s="15"/>
      <c r="M575" s="15"/>
      <c r="N575" s="15"/>
      <c r="O575" s="15"/>
      <c r="P575" s="14"/>
      <c r="Q575" s="14"/>
      <c r="R575" s="14"/>
      <c r="S575" s="14"/>
      <c r="T575" s="14"/>
      <c r="U575" s="14"/>
      <c r="V575" s="14"/>
      <c r="W575" s="14"/>
      <c r="X575" s="14"/>
      <c r="Y575" s="13"/>
      <c r="Z575" s="44"/>
      <c r="AA575" s="43"/>
      <c r="AB575" s="13"/>
      <c r="AC575" s="13"/>
      <c r="AD575" s="13"/>
      <c r="AE575" s="13"/>
      <c r="AF575" s="13"/>
      <c r="AG575" s="13"/>
      <c r="AH575" s="13"/>
      <c r="AI575" s="13"/>
      <c r="AJ575" s="13"/>
      <c r="AK575" s="44"/>
    </row>
    <row r="576" spans="1:38" ht="12.75" customHeight="1">
      <c r="A576" s="41">
        <v>204</v>
      </c>
      <c r="B576" s="10">
        <v>1064</v>
      </c>
      <c r="C576" s="10" t="s">
        <v>1703</v>
      </c>
      <c r="D576" s="16">
        <v>358.14</v>
      </c>
      <c r="E576" s="20" t="s">
        <v>1704</v>
      </c>
      <c r="F576" s="20" t="s">
        <v>1705</v>
      </c>
      <c r="G576" s="12">
        <v>1</v>
      </c>
      <c r="H576" s="12">
        <v>2</v>
      </c>
      <c r="I576" s="16">
        <f>ROUND(G576,0)</f>
        <v>1</v>
      </c>
      <c r="J576" s="16">
        <f>ROUND(H576,0)</f>
        <v>2</v>
      </c>
      <c r="K576" s="18" t="str">
        <f>IF(I576=J576,"TAM",(CONCATENATE(G576,"/",H576)))</f>
        <v>1/2</v>
      </c>
      <c r="L576" s="29">
        <f>358.14*1/2</f>
        <v>179.07</v>
      </c>
      <c r="M576" s="30">
        <v>0</v>
      </c>
      <c r="N576" s="16" t="str">
        <f>IF(M576=0,"0",(O576*M576))</f>
        <v>0</v>
      </c>
      <c r="O576" s="16">
        <f>IF(W576=1,L576,((D576*G576/H576)-P576)/(1-V576)-S576-T576)</f>
        <v>179.07</v>
      </c>
      <c r="P576" s="16">
        <v>0</v>
      </c>
      <c r="Q576" s="16">
        <f>IF(U576=0,"0",O576*U576)</f>
        <v>59.94411794711282</v>
      </c>
      <c r="R576" s="17">
        <f>IF(U576=0,(((D576*G576/H576)-P576-S576-T576)/(1-V576)),(((D576*G576/H576)-P576-S576-T576)/(1-V576))-((D576*G576/H576)-P576-S576-T576)*U576/(1-V576))</f>
        <v>119.12588205288716</v>
      </c>
      <c r="S576" s="12">
        <v>0</v>
      </c>
      <c r="T576" s="12">
        <v>0</v>
      </c>
      <c r="U576" s="12">
        <v>0.334752431714485</v>
      </c>
      <c r="V576" s="12">
        <v>0</v>
      </c>
      <c r="W576" s="28">
        <f>IF(V576&gt;U576,1,V576)</f>
        <v>0</v>
      </c>
      <c r="X576" s="12">
        <v>1</v>
      </c>
      <c r="Y576" s="16">
        <v>0</v>
      </c>
      <c r="Z576" s="42" t="str">
        <f>IF(OR(W576=1,W576=0),"0",(Q576-N576))</f>
        <v>0</v>
      </c>
      <c r="AA576" s="53" t="s">
        <v>1707</v>
      </c>
      <c r="AB576" s="16" t="s">
        <v>1709</v>
      </c>
      <c r="AC576" s="16">
        <v>119.13</v>
      </c>
      <c r="AD576" s="16">
        <v>403.92</v>
      </c>
      <c r="AE576" s="16">
        <f>ROUND(AC576*100,0)</f>
        <v>11913</v>
      </c>
      <c r="AF576" s="16">
        <f>ROUND(AD576*100,0)</f>
        <v>40392</v>
      </c>
      <c r="AG576" s="19" t="str">
        <f>IF(AC576=AD576,"TAM",(CONCATENATE(AE576,"/",AF576)))</f>
        <v>11913/40392</v>
      </c>
      <c r="AH576" s="11" t="s">
        <v>50</v>
      </c>
      <c r="AI576" s="21" t="s">
        <v>50</v>
      </c>
      <c r="AJ576" s="21" t="s">
        <v>1708</v>
      </c>
      <c r="AK576" s="54" t="s">
        <v>50</v>
      </c>
      <c r="AL576" s="1" t="s">
        <v>50</v>
      </c>
    </row>
    <row r="577" spans="1:37" ht="33.75" customHeight="1">
      <c r="A577" s="43"/>
      <c r="B577" s="13"/>
      <c r="C577" s="13"/>
      <c r="D577" s="31"/>
      <c r="E577" s="34" t="s">
        <v>1706</v>
      </c>
      <c r="F577" s="14"/>
      <c r="G577" s="14"/>
      <c r="H577" s="14"/>
      <c r="I577" s="31"/>
      <c r="J577" s="31"/>
      <c r="K577" s="15"/>
      <c r="L577" s="15"/>
      <c r="M577" s="15"/>
      <c r="N577" s="15"/>
      <c r="O577" s="15"/>
      <c r="P577" s="14"/>
      <c r="Q577" s="14"/>
      <c r="R577" s="14"/>
      <c r="S577" s="14"/>
      <c r="T577" s="14"/>
      <c r="U577" s="14"/>
      <c r="V577" s="14"/>
      <c r="W577" s="14"/>
      <c r="X577" s="14"/>
      <c r="Y577" s="13"/>
      <c r="Z577" s="44"/>
      <c r="AA577" s="43"/>
      <c r="AB577" s="13"/>
      <c r="AC577" s="13"/>
      <c r="AD577" s="13"/>
      <c r="AE577" s="13"/>
      <c r="AF577" s="13"/>
      <c r="AG577" s="13"/>
      <c r="AH577" s="13"/>
      <c r="AI577" s="13"/>
      <c r="AJ577" s="13"/>
      <c r="AK577" s="44"/>
    </row>
    <row r="578" spans="1:38" ht="12.75" customHeight="1">
      <c r="A578" s="41">
        <v>208</v>
      </c>
      <c r="B578" s="10">
        <v>1064</v>
      </c>
      <c r="C578" s="10" t="s">
        <v>1710</v>
      </c>
      <c r="D578" s="16">
        <v>358.14</v>
      </c>
      <c r="E578" s="20" t="s">
        <v>1711</v>
      </c>
      <c r="F578" s="20" t="s">
        <v>1712</v>
      </c>
      <c r="G578" s="12">
        <v>1</v>
      </c>
      <c r="H578" s="12">
        <v>2</v>
      </c>
      <c r="I578" s="16">
        <f>ROUND(G578,0)</f>
        <v>1</v>
      </c>
      <c r="J578" s="16">
        <f>ROUND(H578,0)</f>
        <v>2</v>
      </c>
      <c r="K578" s="18" t="str">
        <f>IF(I578=J578,"TAM",(CONCATENATE(G578,"/",H578)))</f>
        <v>1/2</v>
      </c>
      <c r="L578" s="29">
        <f>358.14*1/2</f>
        <v>179.07</v>
      </c>
      <c r="M578" s="30">
        <v>0</v>
      </c>
      <c r="N578" s="16" t="str">
        <f>IF(M578=0,"0",(O578*M578))</f>
        <v>0</v>
      </c>
      <c r="O578" s="16">
        <f>IF(W578=1,L578,((D578*G578/H578)-P578)/(1-V578)-S578-T578)</f>
        <v>179.07</v>
      </c>
      <c r="P578" s="16">
        <v>0</v>
      </c>
      <c r="Q578" s="16">
        <f>IF(U578=0,"0",O578*U578)</f>
        <v>59.94411794711282</v>
      </c>
      <c r="R578" s="17">
        <f>IF(U578=0,(((D578*G578/H578)-P578-S578-T578)/(1-V578)),(((D578*G578/H578)-P578-S578-T578)/(1-V578))-((D578*G578/H578)-P578-S578-T578)*U578/(1-V578))</f>
        <v>119.12588205288716</v>
      </c>
      <c r="S578" s="12">
        <v>0</v>
      </c>
      <c r="T578" s="12">
        <v>0</v>
      </c>
      <c r="U578" s="12">
        <v>0.334752431714485</v>
      </c>
      <c r="V578" s="12">
        <v>0</v>
      </c>
      <c r="W578" s="28">
        <f>IF(V578&gt;U578,1,V578)</f>
        <v>0</v>
      </c>
      <c r="X578" s="12">
        <v>1</v>
      </c>
      <c r="Y578" s="16">
        <v>0</v>
      </c>
      <c r="Z578" s="42" t="str">
        <f>IF(OR(W578=1,W578=0),"0",(Q578-N578))</f>
        <v>0</v>
      </c>
      <c r="AA578" s="53" t="s">
        <v>1714</v>
      </c>
      <c r="AB578" s="16" t="s">
        <v>1716</v>
      </c>
      <c r="AC578" s="16">
        <v>119.12</v>
      </c>
      <c r="AD578" s="16">
        <v>403.92</v>
      </c>
      <c r="AE578" s="16">
        <f>ROUND(AC578*100,0)</f>
        <v>11912</v>
      </c>
      <c r="AF578" s="16">
        <f>ROUND(AD578*100,0)</f>
        <v>40392</v>
      </c>
      <c r="AG578" s="19" t="str">
        <f>IF(AC578=AD578,"TAM",(CONCATENATE(AE578,"/",AF578)))</f>
        <v>11912/40392</v>
      </c>
      <c r="AH578" s="11" t="s">
        <v>50</v>
      </c>
      <c r="AI578" s="21" t="s">
        <v>50</v>
      </c>
      <c r="AJ578" s="21" t="s">
        <v>1715</v>
      </c>
      <c r="AK578" s="54" t="s">
        <v>50</v>
      </c>
      <c r="AL578" s="1" t="s">
        <v>50</v>
      </c>
    </row>
    <row r="579" spans="1:37" ht="29.25" customHeight="1">
      <c r="A579" s="43"/>
      <c r="B579" s="13"/>
      <c r="C579" s="13"/>
      <c r="D579" s="31"/>
      <c r="E579" s="34" t="s">
        <v>1713</v>
      </c>
      <c r="F579" s="14"/>
      <c r="G579" s="14"/>
      <c r="H579" s="14"/>
      <c r="I579" s="31"/>
      <c r="J579" s="31"/>
      <c r="K579" s="15"/>
      <c r="L579" s="15"/>
      <c r="M579" s="15"/>
      <c r="N579" s="15"/>
      <c r="O579" s="15"/>
      <c r="P579" s="14"/>
      <c r="Q579" s="14"/>
      <c r="R579" s="14"/>
      <c r="S579" s="14"/>
      <c r="T579" s="14"/>
      <c r="U579" s="14"/>
      <c r="V579" s="14"/>
      <c r="W579" s="14"/>
      <c r="X579" s="14"/>
      <c r="Y579" s="13"/>
      <c r="Z579" s="44"/>
      <c r="AA579" s="43"/>
      <c r="AB579" s="13"/>
      <c r="AC579" s="13"/>
      <c r="AD579" s="13"/>
      <c r="AE579" s="13"/>
      <c r="AF579" s="13"/>
      <c r="AG579" s="13"/>
      <c r="AH579" s="13"/>
      <c r="AI579" s="13"/>
      <c r="AJ579" s="13"/>
      <c r="AK579" s="44"/>
    </row>
    <row r="580" spans="1:38" ht="12.75" customHeight="1">
      <c r="A580" s="41">
        <v>213</v>
      </c>
      <c r="B580" s="10">
        <v>1066</v>
      </c>
      <c r="C580" s="10" t="s">
        <v>1717</v>
      </c>
      <c r="D580" s="16">
        <v>119.97</v>
      </c>
      <c r="E580" s="20" t="s">
        <v>1718</v>
      </c>
      <c r="F580" s="20" t="s">
        <v>1719</v>
      </c>
      <c r="G580" s="12">
        <v>1</v>
      </c>
      <c r="H580" s="12">
        <v>1</v>
      </c>
      <c r="I580" s="16">
        <f>ROUND(G580,0)</f>
        <v>1</v>
      </c>
      <c r="J580" s="16">
        <f>ROUND(H580,0)</f>
        <v>1</v>
      </c>
      <c r="K580" s="18" t="str">
        <f>IF(I580=J580,"TAM",(CONCATENATE(G580,"/",H580)))</f>
        <v>TAM</v>
      </c>
      <c r="L580" s="29">
        <f>119.97*1/1</f>
        <v>119.97</v>
      </c>
      <c r="M580" s="30">
        <v>0</v>
      </c>
      <c r="N580" s="16" t="str">
        <f>IF(M580=0,"0",(O580*M580))</f>
        <v>0</v>
      </c>
      <c r="O580" s="16">
        <f>IF(W580=1,L580,((D580*G580/H580)-P580)/(1-V580)-S580-T580)</f>
        <v>119.97</v>
      </c>
      <c r="P580" s="16">
        <v>0</v>
      </c>
      <c r="Q580" s="16">
        <f>IF(U580=0,"0",O580*U580)</f>
        <v>40.16024923278676</v>
      </c>
      <c r="R580" s="17">
        <f>IF(U580=0,(((D580*G580/H580)-P580-S580-T580)/(1-V580)),(((D580*G580/H580)-P580-S580-T580)/(1-V580))-((D580*G580/H580)-P580-S580-T580)*U580/(1-V580))</f>
        <v>79.80975076721325</v>
      </c>
      <c r="S580" s="12">
        <v>0</v>
      </c>
      <c r="T580" s="12">
        <v>0</v>
      </c>
      <c r="U580" s="12">
        <v>0.334752431714485</v>
      </c>
      <c r="V580" s="12">
        <v>0</v>
      </c>
      <c r="W580" s="28">
        <f>IF(V580&gt;U580,1,V580)</f>
        <v>0</v>
      </c>
      <c r="X580" s="12">
        <v>1</v>
      </c>
      <c r="Y580" s="16">
        <v>0</v>
      </c>
      <c r="Z580" s="42" t="str">
        <f>IF(OR(W580=1,W580=0),"0",(Q580-N580))</f>
        <v>0</v>
      </c>
      <c r="AA580" s="53" t="s">
        <v>1720</v>
      </c>
      <c r="AB580" s="16" t="s">
        <v>1722</v>
      </c>
      <c r="AC580" s="16">
        <v>79.81</v>
      </c>
      <c r="AD580" s="16">
        <v>403.92</v>
      </c>
      <c r="AE580" s="16">
        <f>ROUND(AC580*100,0)</f>
        <v>7981</v>
      </c>
      <c r="AF580" s="16">
        <f>ROUND(AD580*100,0)</f>
        <v>40392</v>
      </c>
      <c r="AG580" s="19" t="str">
        <f>IF(AC580=AD580,"TAM",(CONCATENATE(AE580,"/",AF580)))</f>
        <v>7981/40392</v>
      </c>
      <c r="AH580" s="11" t="s">
        <v>50</v>
      </c>
      <c r="AI580" s="21" t="s">
        <v>50</v>
      </c>
      <c r="AJ580" s="21" t="s">
        <v>1721</v>
      </c>
      <c r="AK580" s="54" t="s">
        <v>50</v>
      </c>
      <c r="AL580" s="1" t="s">
        <v>50</v>
      </c>
    </row>
    <row r="581" spans="1:37" ht="12.75" customHeight="1">
      <c r="A581" s="43"/>
      <c r="B581" s="13"/>
      <c r="C581" s="13"/>
      <c r="D581" s="31"/>
      <c r="E581" s="14" t="s">
        <v>50</v>
      </c>
      <c r="F581" s="14"/>
      <c r="G581" s="14"/>
      <c r="H581" s="14"/>
      <c r="I581" s="31"/>
      <c r="J581" s="31"/>
      <c r="K581" s="15"/>
      <c r="L581" s="15"/>
      <c r="M581" s="15"/>
      <c r="N581" s="15"/>
      <c r="O581" s="15"/>
      <c r="P581" s="14"/>
      <c r="Q581" s="14"/>
      <c r="R581" s="14"/>
      <c r="S581" s="14"/>
      <c r="T581" s="14"/>
      <c r="U581" s="14"/>
      <c r="V581" s="14"/>
      <c r="W581" s="14"/>
      <c r="X581" s="14"/>
      <c r="Y581" s="13"/>
      <c r="Z581" s="44"/>
      <c r="AA581" s="43"/>
      <c r="AB581" s="13"/>
      <c r="AC581" s="13"/>
      <c r="AD581" s="13"/>
      <c r="AE581" s="13"/>
      <c r="AF581" s="13"/>
      <c r="AG581" s="13"/>
      <c r="AH581" s="13"/>
      <c r="AI581" s="13"/>
      <c r="AJ581" s="13"/>
      <c r="AK581" s="44"/>
    </row>
    <row r="582" spans="1:38" ht="12.75" customHeight="1">
      <c r="A582" s="41">
        <v>214</v>
      </c>
      <c r="B582" s="10">
        <v>1067</v>
      </c>
      <c r="C582" s="10" t="s">
        <v>1723</v>
      </c>
      <c r="D582" s="16">
        <v>103.4</v>
      </c>
      <c r="E582" s="20" t="s">
        <v>1724</v>
      </c>
      <c r="F582" s="20" t="s">
        <v>1725</v>
      </c>
      <c r="G582" s="12">
        <v>1</v>
      </c>
      <c r="H582" s="12">
        <v>1</v>
      </c>
      <c r="I582" s="16">
        <f>ROUND(G582,0)</f>
        <v>1</v>
      </c>
      <c r="J582" s="16">
        <f>ROUND(H582,0)</f>
        <v>1</v>
      </c>
      <c r="K582" s="18" t="str">
        <f>IF(I582=J582,"TAM",(CONCATENATE(G582,"/",H582)))</f>
        <v>TAM</v>
      </c>
      <c r="L582" s="29">
        <f>103.4*1/1</f>
        <v>103.4</v>
      </c>
      <c r="M582" s="30">
        <v>0</v>
      </c>
      <c r="N582" s="16" t="str">
        <f>IF(M582=0,"0",(O582*M582))</f>
        <v>0</v>
      </c>
      <c r="O582" s="16">
        <f>IF(W582=1,L582,((D582*G582/H582)-P582)/(1-V582)-S582-T582)</f>
        <v>103.4</v>
      </c>
      <c r="P582" s="16">
        <v>0</v>
      </c>
      <c r="Q582" s="16">
        <f>IF(U582=0,"0",O582*U582)</f>
        <v>34.61340143927775</v>
      </c>
      <c r="R582" s="17">
        <f>IF(U582=0,(((D582*G582/H582)-P582-S582-T582)/(1-V582)),(((D582*G582/H582)-P582-S582-T582)/(1-V582))-((D582*G582/H582)-P582-S582-T582)*U582/(1-V582))</f>
        <v>68.78659856072225</v>
      </c>
      <c r="S582" s="12">
        <v>0</v>
      </c>
      <c r="T582" s="12">
        <v>0</v>
      </c>
      <c r="U582" s="12">
        <v>0.334752431714485</v>
      </c>
      <c r="V582" s="12">
        <v>0</v>
      </c>
      <c r="W582" s="28">
        <f>IF(V582&gt;U582,1,V582)</f>
        <v>0</v>
      </c>
      <c r="X582" s="12">
        <v>1</v>
      </c>
      <c r="Y582" s="16">
        <v>0</v>
      </c>
      <c r="Z582" s="42" t="str">
        <f>IF(OR(W582=1,W582=0),"0",(Q582-N582))</f>
        <v>0</v>
      </c>
      <c r="AA582" s="53" t="s">
        <v>1727</v>
      </c>
      <c r="AB582" s="16" t="s">
        <v>1729</v>
      </c>
      <c r="AC582" s="16">
        <v>3.79</v>
      </c>
      <c r="AD582" s="16">
        <v>403.92</v>
      </c>
      <c r="AE582" s="16">
        <f>ROUND(AC582*100,0)</f>
        <v>379</v>
      </c>
      <c r="AF582" s="16">
        <f>ROUND(AD582*100,0)</f>
        <v>40392</v>
      </c>
      <c r="AG582" s="19" t="str">
        <f>IF(AC582=AD582,"TAM",(CONCATENATE(AE582,"/",AF582)))</f>
        <v>379/40392</v>
      </c>
      <c r="AH582" s="11" t="s">
        <v>50</v>
      </c>
      <c r="AI582" s="21" t="s">
        <v>50</v>
      </c>
      <c r="AJ582" s="21" t="s">
        <v>1728</v>
      </c>
      <c r="AK582" s="54" t="s">
        <v>50</v>
      </c>
      <c r="AL582" s="1" t="s">
        <v>50</v>
      </c>
    </row>
    <row r="583" spans="1:37" ht="33" customHeight="1">
      <c r="A583" s="43"/>
      <c r="B583" s="13"/>
      <c r="C583" s="13"/>
      <c r="D583" s="31"/>
      <c r="E583" s="34" t="s">
        <v>1726</v>
      </c>
      <c r="F583" s="14"/>
      <c r="G583" s="14"/>
      <c r="H583" s="14"/>
      <c r="I583" s="31"/>
      <c r="J583" s="31"/>
      <c r="K583" s="15"/>
      <c r="L583" s="15"/>
      <c r="M583" s="15"/>
      <c r="N583" s="15"/>
      <c r="O583" s="15"/>
      <c r="P583" s="14"/>
      <c r="Q583" s="14"/>
      <c r="R583" s="14"/>
      <c r="S583" s="14"/>
      <c r="T583" s="14"/>
      <c r="U583" s="14"/>
      <c r="V583" s="14"/>
      <c r="W583" s="14"/>
      <c r="X583" s="14"/>
      <c r="Y583" s="13"/>
      <c r="Z583" s="44"/>
      <c r="AA583" s="43"/>
      <c r="AB583" s="13"/>
      <c r="AC583" s="13"/>
      <c r="AD583" s="13"/>
      <c r="AE583" s="13"/>
      <c r="AF583" s="13"/>
      <c r="AG583" s="13"/>
      <c r="AH583" s="13"/>
      <c r="AI583" s="13"/>
      <c r="AJ583" s="13"/>
      <c r="AK583" s="44"/>
    </row>
    <row r="584" spans="1:38" ht="12.75" customHeight="1">
      <c r="A584" s="41">
        <v>461</v>
      </c>
      <c r="B584" s="10">
        <v>1141</v>
      </c>
      <c r="C584" s="10" t="s">
        <v>1730</v>
      </c>
      <c r="D584" s="16">
        <v>1230.41</v>
      </c>
      <c r="E584" s="20" t="s">
        <v>1731</v>
      </c>
      <c r="F584" s="20" t="s">
        <v>1732</v>
      </c>
      <c r="G584" s="12">
        <v>1</v>
      </c>
      <c r="H584" s="12">
        <v>1</v>
      </c>
      <c r="I584" s="16">
        <f>ROUND(G584,0)</f>
        <v>1</v>
      </c>
      <c r="J584" s="16">
        <f>ROUND(H584,0)</f>
        <v>1</v>
      </c>
      <c r="K584" s="18" t="str">
        <f>IF(I584=J584,"TAM",(CONCATENATE(G584,"/",H584)))</f>
        <v>TAM</v>
      </c>
      <c r="L584" s="29">
        <f>1230.41*1/1</f>
        <v>1230.41</v>
      </c>
      <c r="M584" s="30">
        <v>0</v>
      </c>
      <c r="N584" s="16" t="str">
        <f>IF(M584=0,"0",(O584*M584))</f>
        <v>0</v>
      </c>
      <c r="O584" s="16">
        <f>IF(W584=1,L584,((D584*G584/H584)-P584)/(1-V584)-S584-T584)</f>
        <v>1230.41</v>
      </c>
      <c r="P584" s="16">
        <v>0</v>
      </c>
      <c r="Q584" s="16">
        <f>IF(U584=0,"0",O584*U584)</f>
        <v>411.88273950581953</v>
      </c>
      <c r="R584" s="17">
        <f>IF(U584=0,(((D584*G584/H584)-P584-S584-T584)/(1-V584)),(((D584*G584/H584)-P584-S584-T584)/(1-V584))-((D584*G584/H584)-P584-S584-T584)*U584/(1-V584))</f>
        <v>818.5272604941806</v>
      </c>
      <c r="S584" s="12">
        <v>0</v>
      </c>
      <c r="T584" s="12">
        <v>0</v>
      </c>
      <c r="U584" s="12">
        <v>0.334752431714485</v>
      </c>
      <c r="V584" s="12">
        <v>0</v>
      </c>
      <c r="W584" s="28">
        <f>IF(V584&gt;U584,1,V584)</f>
        <v>0</v>
      </c>
      <c r="X584" s="12">
        <v>1</v>
      </c>
      <c r="Y584" s="16">
        <v>0</v>
      </c>
      <c r="Z584" s="42" t="str">
        <f>IF(OR(W584=1,W584=0),"0",(Q584-N584))</f>
        <v>0</v>
      </c>
      <c r="AA584" s="53" t="s">
        <v>1733</v>
      </c>
      <c r="AB584" s="16" t="s">
        <v>1735</v>
      </c>
      <c r="AC584" s="16">
        <v>82.07</v>
      </c>
      <c r="AD584" s="16">
        <v>403.92</v>
      </c>
      <c r="AE584" s="16">
        <f>ROUND(AC584*100,0)</f>
        <v>8207</v>
      </c>
      <c r="AF584" s="16">
        <f>ROUND(AD584*100,0)</f>
        <v>40392</v>
      </c>
      <c r="AG584" s="19" t="str">
        <f>IF(AC584=AD584,"TAM",(CONCATENATE(AE584,"/",AF584)))</f>
        <v>8207/40392</v>
      </c>
      <c r="AH584" s="11" t="s">
        <v>50</v>
      </c>
      <c r="AI584" s="21" t="s">
        <v>50</v>
      </c>
      <c r="AJ584" s="21" t="s">
        <v>1734</v>
      </c>
      <c r="AK584" s="54" t="s">
        <v>50</v>
      </c>
      <c r="AL584" s="1" t="s">
        <v>50</v>
      </c>
    </row>
    <row r="585" spans="1:37" ht="12.75" customHeight="1">
      <c r="A585" s="43"/>
      <c r="B585" s="13"/>
      <c r="C585" s="13"/>
      <c r="D585" s="31"/>
      <c r="E585" s="14" t="s">
        <v>50</v>
      </c>
      <c r="F585" s="14"/>
      <c r="G585" s="14"/>
      <c r="H585" s="14"/>
      <c r="I585" s="31"/>
      <c r="J585" s="31"/>
      <c r="K585" s="15"/>
      <c r="L585" s="15"/>
      <c r="M585" s="15"/>
      <c r="N585" s="15"/>
      <c r="O585" s="15"/>
      <c r="P585" s="14"/>
      <c r="Q585" s="14"/>
      <c r="R585" s="14"/>
      <c r="S585" s="14"/>
      <c r="T585" s="14"/>
      <c r="U585" s="14"/>
      <c r="V585" s="14"/>
      <c r="W585" s="14"/>
      <c r="X585" s="14"/>
      <c r="Y585" s="13"/>
      <c r="Z585" s="44"/>
      <c r="AA585" s="43"/>
      <c r="AB585" s="13"/>
      <c r="AC585" s="13"/>
      <c r="AD585" s="13"/>
      <c r="AE585" s="13"/>
      <c r="AF585" s="13"/>
      <c r="AG585" s="13"/>
      <c r="AH585" s="13"/>
      <c r="AI585" s="13"/>
      <c r="AJ585" s="13"/>
      <c r="AK585" s="44"/>
    </row>
    <row r="586" spans="1:38" ht="12.75" customHeight="1">
      <c r="A586" s="41">
        <v>461</v>
      </c>
      <c r="B586" s="10">
        <v>1141</v>
      </c>
      <c r="C586" s="10" t="s">
        <v>1736</v>
      </c>
      <c r="D586" s="16">
        <v>1230.41</v>
      </c>
      <c r="E586" s="20" t="s">
        <v>1737</v>
      </c>
      <c r="F586" s="20" t="s">
        <v>1738</v>
      </c>
      <c r="G586" s="12">
        <v>1</v>
      </c>
      <c r="H586" s="12">
        <v>1</v>
      </c>
      <c r="I586" s="16">
        <f>ROUND(G586,0)</f>
        <v>1</v>
      </c>
      <c r="J586" s="16">
        <f>ROUND(H586,0)</f>
        <v>1</v>
      </c>
      <c r="K586" s="18" t="str">
        <f>IF(I586=J586,"TAM",(CONCATENATE(G586,"/",H586)))</f>
        <v>TAM</v>
      </c>
      <c r="L586" s="29">
        <f>1230.41*1/1</f>
        <v>1230.41</v>
      </c>
      <c r="M586" s="30">
        <v>0</v>
      </c>
      <c r="N586" s="16" t="str">
        <f>IF(M586=0,"0",(O586*M586))</f>
        <v>0</v>
      </c>
      <c r="O586" s="16">
        <f>IF(W586=1,L586,((D586*G586/H586)-P586)/(1-V586)-S586-T586)</f>
        <v>1230.41</v>
      </c>
      <c r="P586" s="16">
        <v>0</v>
      </c>
      <c r="Q586" s="16">
        <f>IF(U586=0,"0",O586*U586)</f>
        <v>411.88273950581953</v>
      </c>
      <c r="R586" s="17">
        <f>IF(U586=0,(((D586*G586/H586)-P586-S586-T586)/(1-V586)),(((D586*G586/H586)-P586-S586-T586)/(1-V586))-((D586*G586/H586)-P586-S586-T586)*U586/(1-V586))</f>
        <v>818.5272604941806</v>
      </c>
      <c r="S586" s="12">
        <v>0</v>
      </c>
      <c r="T586" s="12">
        <v>0</v>
      </c>
      <c r="U586" s="12">
        <v>0.334752431714485</v>
      </c>
      <c r="V586" s="12">
        <v>0</v>
      </c>
      <c r="W586" s="28">
        <f>IF(V586&gt;U586,1,V586)</f>
        <v>0</v>
      </c>
      <c r="X586" s="12">
        <v>1</v>
      </c>
      <c r="Y586" s="16">
        <v>0</v>
      </c>
      <c r="Z586" s="42" t="str">
        <f>IF(OR(W586=1,W586=0),"0",(Q586-N586))</f>
        <v>0</v>
      </c>
      <c r="AA586" s="53" t="s">
        <v>1739</v>
      </c>
      <c r="AB586" s="16" t="s">
        <v>1741</v>
      </c>
      <c r="AC586" s="16">
        <v>410.77</v>
      </c>
      <c r="AD586" s="16">
        <v>410.77</v>
      </c>
      <c r="AE586" s="16">
        <f>ROUND(AC586*100,0)</f>
        <v>41077</v>
      </c>
      <c r="AF586" s="16">
        <f>ROUND(AD586*100,0)</f>
        <v>41077</v>
      </c>
      <c r="AG586" s="19" t="str">
        <f>IF(AC586=AD586,"TAM",(CONCATENATE(AE586,"/",AF586)))</f>
        <v>TAM</v>
      </c>
      <c r="AH586" s="11" t="s">
        <v>50</v>
      </c>
      <c r="AI586" s="21" t="s">
        <v>50</v>
      </c>
      <c r="AJ586" s="21" t="s">
        <v>1740</v>
      </c>
      <c r="AK586" s="54" t="s">
        <v>50</v>
      </c>
      <c r="AL586" s="1" t="s">
        <v>50</v>
      </c>
    </row>
    <row r="587" spans="1:37" ht="12.75" customHeight="1">
      <c r="A587" s="43"/>
      <c r="B587" s="13"/>
      <c r="C587" s="13"/>
      <c r="D587" s="31"/>
      <c r="E587" s="14" t="s">
        <v>50</v>
      </c>
      <c r="F587" s="14"/>
      <c r="G587" s="14"/>
      <c r="H587" s="14"/>
      <c r="I587" s="31"/>
      <c r="J587" s="31"/>
      <c r="K587" s="15"/>
      <c r="L587" s="15"/>
      <c r="M587" s="15"/>
      <c r="N587" s="15"/>
      <c r="O587" s="15"/>
      <c r="P587" s="14"/>
      <c r="Q587" s="14"/>
      <c r="R587" s="14"/>
      <c r="S587" s="14"/>
      <c r="T587" s="14"/>
      <c r="U587" s="14"/>
      <c r="V587" s="14"/>
      <c r="W587" s="14"/>
      <c r="X587" s="14"/>
      <c r="Y587" s="13"/>
      <c r="Z587" s="44"/>
      <c r="AA587" s="43"/>
      <c r="AB587" s="13"/>
      <c r="AC587" s="13"/>
      <c r="AD587" s="13"/>
      <c r="AE587" s="13"/>
      <c r="AF587" s="13"/>
      <c r="AG587" s="13"/>
      <c r="AH587" s="13"/>
      <c r="AI587" s="13"/>
      <c r="AJ587" s="13"/>
      <c r="AK587" s="44"/>
    </row>
    <row r="588" spans="1:38" ht="12.75" customHeight="1">
      <c r="A588" s="41">
        <v>262</v>
      </c>
      <c r="B588" s="10">
        <v>1078</v>
      </c>
      <c r="C588" s="10" t="s">
        <v>1742</v>
      </c>
      <c r="D588" s="16">
        <v>1332.89</v>
      </c>
      <c r="E588" s="20" t="s">
        <v>1743</v>
      </c>
      <c r="F588" s="20" t="s">
        <v>1744</v>
      </c>
      <c r="G588" s="12">
        <v>1</v>
      </c>
      <c r="H588" s="12">
        <v>1</v>
      </c>
      <c r="I588" s="16">
        <f>ROUND(G588,0)</f>
        <v>1</v>
      </c>
      <c r="J588" s="16">
        <f>ROUND(H588,0)</f>
        <v>1</v>
      </c>
      <c r="K588" s="18" t="str">
        <f>IF(I588=J588,"TAM",(CONCATENATE(G588,"/",H588)))</f>
        <v>TAM</v>
      </c>
      <c r="L588" s="29">
        <f>1332.89*1/1</f>
        <v>1332.89</v>
      </c>
      <c r="M588" s="30">
        <v>0</v>
      </c>
      <c r="N588" s="16" t="str">
        <f>IF(M588=0,"0",(O588*M588))</f>
        <v>0</v>
      </c>
      <c r="O588" s="16">
        <f>IF(W588=1,L588,((D588*G588/H588)-P588)/(1-V588)-S588-T588)</f>
        <v>1332.89</v>
      </c>
      <c r="P588" s="16">
        <v>0</v>
      </c>
      <c r="Q588" s="16">
        <f>IF(U588=0,"0",O588*U588)</f>
        <v>446.18816870791994</v>
      </c>
      <c r="R588" s="17">
        <f>IF(U588=0,(((D588*G588/H588)-P588-S588-T588)/(1-V588)),(((D588*G588/H588)-P588-S588-T588)/(1-V588))-((D588*G588/H588)-P588-S588-T588)*U588/(1-V588))</f>
        <v>886.7018312920802</v>
      </c>
      <c r="S588" s="12">
        <v>0</v>
      </c>
      <c r="T588" s="12">
        <v>0</v>
      </c>
      <c r="U588" s="12">
        <v>0.334752431714485</v>
      </c>
      <c r="V588" s="12">
        <v>0</v>
      </c>
      <c r="W588" s="28">
        <f>IF(V588&gt;U588,1,V588)</f>
        <v>0</v>
      </c>
      <c r="X588" s="12">
        <v>1</v>
      </c>
      <c r="Y588" s="16">
        <v>0</v>
      </c>
      <c r="Z588" s="42" t="str">
        <f>IF(OR(W588=1,W588=0),"0",(Q588-N588))</f>
        <v>0</v>
      </c>
      <c r="AA588" s="53" t="s">
        <v>1745</v>
      </c>
      <c r="AB588" s="16" t="s">
        <v>1746</v>
      </c>
      <c r="AC588" s="16">
        <v>88.57</v>
      </c>
      <c r="AD588" s="16">
        <v>1497.29</v>
      </c>
      <c r="AE588" s="16">
        <f>ROUND(AC588*100,0)</f>
        <v>8857</v>
      </c>
      <c r="AF588" s="16">
        <f>ROUND(AD588*100,0)</f>
        <v>149729</v>
      </c>
      <c r="AG588" s="19" t="str">
        <f>IF(AC588=AD588,"TAM",(CONCATENATE(AE588,"/",AF588)))</f>
        <v>8857/149729</v>
      </c>
      <c r="AH588" s="11" t="s">
        <v>50</v>
      </c>
      <c r="AI588" s="21" t="s">
        <v>50</v>
      </c>
      <c r="AJ588" s="71" t="s">
        <v>2425</v>
      </c>
      <c r="AK588" s="54" t="s">
        <v>50</v>
      </c>
      <c r="AL588" s="1" t="s">
        <v>50</v>
      </c>
    </row>
    <row r="589" spans="1:37" ht="12.75" customHeight="1">
      <c r="A589" s="43"/>
      <c r="B589" s="13"/>
      <c r="C589" s="13"/>
      <c r="D589" s="31"/>
      <c r="E589" s="14" t="s">
        <v>50</v>
      </c>
      <c r="F589" s="14"/>
      <c r="G589" s="14"/>
      <c r="H589" s="14"/>
      <c r="I589" s="31"/>
      <c r="J589" s="31"/>
      <c r="K589" s="15"/>
      <c r="L589" s="15"/>
      <c r="M589" s="15"/>
      <c r="N589" s="15"/>
      <c r="O589" s="15"/>
      <c r="P589" s="14"/>
      <c r="Q589" s="14"/>
      <c r="R589" s="14"/>
      <c r="S589" s="14"/>
      <c r="T589" s="14"/>
      <c r="U589" s="14"/>
      <c r="V589" s="14"/>
      <c r="W589" s="14"/>
      <c r="X589" s="14"/>
      <c r="Y589" s="13"/>
      <c r="Z589" s="44"/>
      <c r="AA589" s="43"/>
      <c r="AB589" s="13"/>
      <c r="AC589" s="13"/>
      <c r="AD589" s="13"/>
      <c r="AE589" s="13"/>
      <c r="AF589" s="13"/>
      <c r="AG589" s="13"/>
      <c r="AH589" s="13"/>
      <c r="AI589" s="13"/>
      <c r="AJ589" s="72"/>
      <c r="AK589" s="44"/>
    </row>
    <row r="590" spans="1:38" ht="12.75" customHeight="1">
      <c r="A590" s="41">
        <v>304</v>
      </c>
      <c r="B590" s="10">
        <v>1090</v>
      </c>
      <c r="C590" s="10" t="s">
        <v>1747</v>
      </c>
      <c r="D590" s="16">
        <v>2986.81</v>
      </c>
      <c r="E590" s="20" t="s">
        <v>1748</v>
      </c>
      <c r="F590" s="20" t="s">
        <v>1749</v>
      </c>
      <c r="G590" s="12">
        <v>1</v>
      </c>
      <c r="H590" s="12">
        <v>1</v>
      </c>
      <c r="I590" s="16">
        <f>ROUND(G590,0)</f>
        <v>1</v>
      </c>
      <c r="J590" s="16">
        <f>ROUND(H590,0)</f>
        <v>1</v>
      </c>
      <c r="K590" s="18" t="str">
        <f>IF(I590=J590,"TAM",(CONCATENATE(G590,"/",H590)))</f>
        <v>TAM</v>
      </c>
      <c r="L590" s="29">
        <f>2986.81*1/1</f>
        <v>2986.81</v>
      </c>
      <c r="M590" s="30">
        <v>0</v>
      </c>
      <c r="N590" s="16" t="str">
        <f>IF(M590=0,"0",(O590*M590))</f>
        <v>0</v>
      </c>
      <c r="O590" s="16">
        <f>IF(W590=1,L590,((D590*G590/H590)-P590)/(1-V590)-S590-T590)</f>
        <v>2117.6099999999997</v>
      </c>
      <c r="P590" s="16">
        <v>869.2</v>
      </c>
      <c r="Q590" s="16">
        <f>IF(U590=0,"0",O590*U590)</f>
        <v>708.8750969229104</v>
      </c>
      <c r="R590" s="17">
        <f>IF(U590=0,(((D590*G590/H590)-P590-S590-T590)/(1-V590)),(((D590*G590/H590)-P590-S590-T590)/(1-V590))-((D590*G590/H590)-P590-S590-T590)*U590/(1-V590))</f>
        <v>1408.7349030770893</v>
      </c>
      <c r="S590" s="12">
        <v>0</v>
      </c>
      <c r="T590" s="12">
        <v>0</v>
      </c>
      <c r="U590" s="12">
        <v>0.334752431714485</v>
      </c>
      <c r="V590" s="12">
        <v>0</v>
      </c>
      <c r="W590" s="28">
        <f>IF(V590&gt;U590,1,V590)</f>
        <v>0</v>
      </c>
      <c r="X590" s="12">
        <v>1</v>
      </c>
      <c r="Y590" s="16">
        <v>0</v>
      </c>
      <c r="Z590" s="42" t="str">
        <f>IF(OR(W590=1,W590=0),"0",(Q590-N590))</f>
        <v>0</v>
      </c>
      <c r="AA590" s="53" t="s">
        <v>1750</v>
      </c>
      <c r="AB590" s="16" t="s">
        <v>1751</v>
      </c>
      <c r="AC590" s="16">
        <v>1408.72</v>
      </c>
      <c r="AD590" s="16">
        <v>1497.29</v>
      </c>
      <c r="AE590" s="16">
        <f>ROUND(AC590*100,0)</f>
        <v>140872</v>
      </c>
      <c r="AF590" s="16">
        <f>ROUND(AD590*100,0)</f>
        <v>149729</v>
      </c>
      <c r="AG590" s="19" t="str">
        <f>IF(AC590=AD590,"TAM",(CONCATENATE(AE590,"/",AF590)))</f>
        <v>140872/149729</v>
      </c>
      <c r="AH590" s="11" t="s">
        <v>50</v>
      </c>
      <c r="AI590" s="21" t="s">
        <v>50</v>
      </c>
      <c r="AJ590" s="71" t="s">
        <v>2425</v>
      </c>
      <c r="AK590" s="54" t="s">
        <v>50</v>
      </c>
      <c r="AL590" s="1" t="s">
        <v>50</v>
      </c>
    </row>
    <row r="591" spans="1:37" ht="12.75" customHeight="1">
      <c r="A591" s="43"/>
      <c r="B591" s="13"/>
      <c r="C591" s="13"/>
      <c r="D591" s="31"/>
      <c r="E591" s="14" t="s">
        <v>50</v>
      </c>
      <c r="F591" s="14"/>
      <c r="G591" s="14"/>
      <c r="H591" s="14"/>
      <c r="I591" s="31"/>
      <c r="J591" s="31"/>
      <c r="K591" s="15"/>
      <c r="L591" s="15"/>
      <c r="M591" s="15"/>
      <c r="N591" s="15"/>
      <c r="O591" s="15"/>
      <c r="P591" s="14"/>
      <c r="Q591" s="14"/>
      <c r="R591" s="14"/>
      <c r="S591" s="14"/>
      <c r="T591" s="14"/>
      <c r="U591" s="14"/>
      <c r="V591" s="14"/>
      <c r="W591" s="14"/>
      <c r="X591" s="14"/>
      <c r="Y591" s="13"/>
      <c r="Z591" s="44"/>
      <c r="AA591" s="43"/>
      <c r="AB591" s="13"/>
      <c r="AC591" s="13"/>
      <c r="AD591" s="13"/>
      <c r="AE591" s="13"/>
      <c r="AF591" s="13"/>
      <c r="AG591" s="13"/>
      <c r="AH591" s="13"/>
      <c r="AI591" s="13"/>
      <c r="AJ591" s="72"/>
      <c r="AK591" s="44"/>
    </row>
    <row r="592" spans="1:38" ht="12.75" customHeight="1">
      <c r="A592" s="41">
        <v>218</v>
      </c>
      <c r="B592" s="10">
        <v>1069</v>
      </c>
      <c r="C592" s="10" t="s">
        <v>1752</v>
      </c>
      <c r="D592" s="16">
        <v>3718.46</v>
      </c>
      <c r="E592" s="20" t="s">
        <v>1753</v>
      </c>
      <c r="F592" s="20" t="s">
        <v>1754</v>
      </c>
      <c r="G592" s="12">
        <v>1</v>
      </c>
      <c r="H592" s="12">
        <v>1</v>
      </c>
      <c r="I592" s="16">
        <f>ROUND(G592,0)</f>
        <v>1</v>
      </c>
      <c r="J592" s="16">
        <f>ROUND(H592,0)</f>
        <v>1</v>
      </c>
      <c r="K592" s="18" t="str">
        <f>IF(I592=J592,"TAM",(CONCATENATE(G592,"/",H592)))</f>
        <v>TAM</v>
      </c>
      <c r="L592" s="29">
        <f>3718.46*1/1</f>
        <v>3718.46</v>
      </c>
      <c r="M592" s="30">
        <v>0</v>
      </c>
      <c r="N592" s="16" t="str">
        <f>IF(M592=0,"0",(O592*M592))</f>
        <v>0</v>
      </c>
      <c r="O592" s="16">
        <f>IF(W592=1,L592,((D592*G592/H592)-P592)/(1-V592)-S592-T592)</f>
        <v>3718.46</v>
      </c>
      <c r="P592" s="16">
        <v>0</v>
      </c>
      <c r="Q592" s="16">
        <f>IF(U592=0,"0",O592*U592)</f>
        <v>1244.7635272330438</v>
      </c>
      <c r="R592" s="17">
        <f>IF(U592=0,(((D592*G592/H592)-P592-S592-T592)/(1-V592)),(((D592*G592/H592)-P592-S592-T592)/(1-V592))-((D592*G592/H592)-P592-S592-T592)*U592/(1-V592))</f>
        <v>2473.6964727669565</v>
      </c>
      <c r="S592" s="12">
        <v>0</v>
      </c>
      <c r="T592" s="12">
        <v>0</v>
      </c>
      <c r="U592" s="12">
        <v>0.334752431714485</v>
      </c>
      <c r="V592" s="12">
        <v>0</v>
      </c>
      <c r="W592" s="28">
        <f>IF(V592&gt;U592,1,V592)</f>
        <v>0</v>
      </c>
      <c r="X592" s="12">
        <v>1</v>
      </c>
      <c r="Y592" s="16">
        <v>0</v>
      </c>
      <c r="Z592" s="42" t="str">
        <f>IF(OR(W592=1,W592=0),"0",(Q592-N592))</f>
        <v>0</v>
      </c>
      <c r="AA592" s="53" t="s">
        <v>1755</v>
      </c>
      <c r="AB592" s="16" t="s">
        <v>1757</v>
      </c>
      <c r="AC592" s="16">
        <v>1675.55</v>
      </c>
      <c r="AD592" s="16">
        <v>1675.55</v>
      </c>
      <c r="AE592" s="16">
        <f>ROUND(AC592*100,0)</f>
        <v>167555</v>
      </c>
      <c r="AF592" s="16">
        <f>ROUND(AD592*100,0)</f>
        <v>167555</v>
      </c>
      <c r="AG592" s="19" t="str">
        <f>IF(AC592=AD592,"TAM",(CONCATENATE(AE592,"/",AF592)))</f>
        <v>TAM</v>
      </c>
      <c r="AH592" s="11" t="s">
        <v>50</v>
      </c>
      <c r="AI592" s="21" t="s">
        <v>50</v>
      </c>
      <c r="AJ592" s="21" t="s">
        <v>1756</v>
      </c>
      <c r="AK592" s="54" t="s">
        <v>50</v>
      </c>
      <c r="AL592" s="1" t="s">
        <v>50</v>
      </c>
    </row>
    <row r="593" spans="1:37" ht="12.75" customHeight="1">
      <c r="A593" s="43"/>
      <c r="B593" s="13"/>
      <c r="C593" s="13"/>
      <c r="D593" s="31"/>
      <c r="E593" s="14" t="s">
        <v>50</v>
      </c>
      <c r="F593" s="14"/>
      <c r="G593" s="14"/>
      <c r="H593" s="14"/>
      <c r="I593" s="31"/>
      <c r="J593" s="31"/>
      <c r="K593" s="15"/>
      <c r="L593" s="15"/>
      <c r="M593" s="15"/>
      <c r="N593" s="15"/>
      <c r="O593" s="15"/>
      <c r="P593" s="14"/>
      <c r="Q593" s="14"/>
      <c r="R593" s="14"/>
      <c r="S593" s="14"/>
      <c r="T593" s="14"/>
      <c r="U593" s="14"/>
      <c r="V593" s="14"/>
      <c r="W593" s="14"/>
      <c r="X593" s="14"/>
      <c r="Y593" s="13"/>
      <c r="Z593" s="44"/>
      <c r="AA593" s="43"/>
      <c r="AB593" s="13"/>
      <c r="AC593" s="13"/>
      <c r="AD593" s="13"/>
      <c r="AE593" s="13"/>
      <c r="AF593" s="13"/>
      <c r="AG593" s="13"/>
      <c r="AH593" s="13"/>
      <c r="AI593" s="13"/>
      <c r="AJ593" s="13"/>
      <c r="AK593" s="44"/>
    </row>
    <row r="594" spans="1:38" ht="12.75" customHeight="1">
      <c r="A594" s="41">
        <v>218</v>
      </c>
      <c r="B594" s="10">
        <v>1069</v>
      </c>
      <c r="C594" s="10" t="s">
        <v>1758</v>
      </c>
      <c r="D594" s="16">
        <v>3718.46</v>
      </c>
      <c r="E594" s="20" t="s">
        <v>1759</v>
      </c>
      <c r="F594" s="20" t="s">
        <v>1760</v>
      </c>
      <c r="G594" s="12">
        <v>1</v>
      </c>
      <c r="H594" s="12">
        <v>1</v>
      </c>
      <c r="I594" s="16">
        <f>ROUND(G594,0)</f>
        <v>1</v>
      </c>
      <c r="J594" s="16">
        <f>ROUND(H594,0)</f>
        <v>1</v>
      </c>
      <c r="K594" s="18" t="str">
        <f>IF(I594=J594,"TAM",(CONCATENATE(G594,"/",H594)))</f>
        <v>TAM</v>
      </c>
      <c r="L594" s="29">
        <f>3718.46*1/1</f>
        <v>3718.46</v>
      </c>
      <c r="M594" s="30">
        <v>0</v>
      </c>
      <c r="N594" s="16" t="str">
        <f>IF(M594=0,"0",(O594*M594))</f>
        <v>0</v>
      </c>
      <c r="O594" s="16">
        <f>IF(W594=1,L594,((D594*G594/H594)-P594)/(1-V594)-S594-T594)</f>
        <v>3718.46</v>
      </c>
      <c r="P594" s="16">
        <v>0</v>
      </c>
      <c r="Q594" s="16">
        <f>IF(U594=0,"0",O594*U594)</f>
        <v>1244.7635272330438</v>
      </c>
      <c r="R594" s="17">
        <f>IF(U594=0,(((D594*G594/H594)-P594-S594-T594)/(1-V594)),(((D594*G594/H594)-P594-S594-T594)/(1-V594))-((D594*G594/H594)-P594-S594-T594)*U594/(1-V594))</f>
        <v>2473.6964727669565</v>
      </c>
      <c r="S594" s="12">
        <v>0</v>
      </c>
      <c r="T594" s="12">
        <v>0</v>
      </c>
      <c r="U594" s="12">
        <v>0.334752431714485</v>
      </c>
      <c r="V594" s="12">
        <v>0</v>
      </c>
      <c r="W594" s="28">
        <f>IF(V594&gt;U594,1,V594)</f>
        <v>0</v>
      </c>
      <c r="X594" s="12">
        <v>1</v>
      </c>
      <c r="Y594" s="16">
        <v>0</v>
      </c>
      <c r="Z594" s="42" t="str">
        <f>IF(OR(W594=1,W594=0),"0",(Q594-N594))</f>
        <v>0</v>
      </c>
      <c r="AA594" s="53" t="s">
        <v>1761</v>
      </c>
      <c r="AB594" s="16" t="s">
        <v>1763</v>
      </c>
      <c r="AC594" s="16">
        <v>798.14</v>
      </c>
      <c r="AD594" s="16">
        <v>798.14</v>
      </c>
      <c r="AE594" s="16">
        <f>ROUND(AC594*100,0)</f>
        <v>79814</v>
      </c>
      <c r="AF594" s="16">
        <f>ROUND(AD594*100,0)</f>
        <v>79814</v>
      </c>
      <c r="AG594" s="19" t="str">
        <f>IF(AC594=AD594,"TAM",(CONCATENATE(AE594,"/",AF594)))</f>
        <v>TAM</v>
      </c>
      <c r="AH594" s="11" t="s">
        <v>50</v>
      </c>
      <c r="AI594" s="21" t="s">
        <v>50</v>
      </c>
      <c r="AJ594" s="21" t="s">
        <v>1762</v>
      </c>
      <c r="AK594" s="54" t="s">
        <v>50</v>
      </c>
      <c r="AL594" s="1" t="s">
        <v>50</v>
      </c>
    </row>
    <row r="595" spans="1:37" ht="12.75" customHeight="1">
      <c r="A595" s="43"/>
      <c r="B595" s="13"/>
      <c r="C595" s="13"/>
      <c r="D595" s="31"/>
      <c r="E595" s="14" t="s">
        <v>50</v>
      </c>
      <c r="F595" s="14"/>
      <c r="G595" s="14"/>
      <c r="H595" s="14"/>
      <c r="I595" s="31"/>
      <c r="J595" s="31"/>
      <c r="K595" s="15"/>
      <c r="L595" s="15"/>
      <c r="M595" s="15"/>
      <c r="N595" s="15"/>
      <c r="O595" s="15"/>
      <c r="P595" s="14"/>
      <c r="Q595" s="14"/>
      <c r="R595" s="14"/>
      <c r="S595" s="14"/>
      <c r="T595" s="14"/>
      <c r="U595" s="14"/>
      <c r="V595" s="14"/>
      <c r="W595" s="14"/>
      <c r="X595" s="14"/>
      <c r="Y595" s="13"/>
      <c r="Z595" s="44"/>
      <c r="AA595" s="43"/>
      <c r="AB595" s="13"/>
      <c r="AC595" s="13"/>
      <c r="AD595" s="13"/>
      <c r="AE595" s="13"/>
      <c r="AF595" s="13"/>
      <c r="AG595" s="13"/>
      <c r="AH595" s="13"/>
      <c r="AI595" s="13"/>
      <c r="AJ595" s="13"/>
      <c r="AK595" s="44"/>
    </row>
    <row r="596" spans="1:38" ht="12.75" customHeight="1">
      <c r="A596" s="41">
        <v>177</v>
      </c>
      <c r="B596" s="10">
        <v>1058</v>
      </c>
      <c r="C596" s="10" t="s">
        <v>1764</v>
      </c>
      <c r="D596" s="16">
        <v>2006.21</v>
      </c>
      <c r="E596" s="20" t="s">
        <v>1765</v>
      </c>
      <c r="F596" s="20" t="s">
        <v>1766</v>
      </c>
      <c r="G596" s="12">
        <v>1</v>
      </c>
      <c r="H596" s="12">
        <v>3</v>
      </c>
      <c r="I596" s="16">
        <f>ROUND(G596,0)</f>
        <v>1</v>
      </c>
      <c r="J596" s="16">
        <f>ROUND(H596,0)</f>
        <v>3</v>
      </c>
      <c r="K596" s="18" t="str">
        <f>IF(I596=J596,"TAM",(CONCATENATE(G596,"/",H596)))</f>
        <v>1/3</v>
      </c>
      <c r="L596" s="29">
        <f>2006.21*1/3</f>
        <v>668.7366666666667</v>
      </c>
      <c r="M596" s="30">
        <v>0</v>
      </c>
      <c r="N596" s="16" t="str">
        <f>IF(M596=0,"0",(O596*M596))</f>
        <v>0</v>
      </c>
      <c r="O596" s="16">
        <f>IF(W596=1,L596,((D596*G596/H596)-P596)/(1-V596)-S596-T596)</f>
        <v>668.7366666666667</v>
      </c>
      <c r="P596" s="16">
        <v>0</v>
      </c>
      <c r="Q596" s="16">
        <f>IF(U596=0,"0",O596*U596)</f>
        <v>223.86122534330565</v>
      </c>
      <c r="R596" s="17">
        <f>IF(U596=0,(((D596*G596/H596)-P596-S596-T596)/(1-V596)),(((D596*G596/H596)-P596-S596-T596)/(1-V596))-((D596*G596/H596)-P596-S596-T596)*U596/(1-V596))</f>
        <v>444.87544132336103</v>
      </c>
      <c r="S596" s="12">
        <v>0</v>
      </c>
      <c r="T596" s="12">
        <v>0</v>
      </c>
      <c r="U596" s="12">
        <v>0.334752431714485</v>
      </c>
      <c r="V596" s="12">
        <v>0</v>
      </c>
      <c r="W596" s="28">
        <f>IF(V596&gt;U596,1,V596)</f>
        <v>0</v>
      </c>
      <c r="X596" s="12">
        <v>1</v>
      </c>
      <c r="Y596" s="16">
        <v>0</v>
      </c>
      <c r="Z596" s="42" t="str">
        <f>IF(OR(W596=1,W596=0),"0",(Q596-N596))</f>
        <v>0</v>
      </c>
      <c r="AA596" s="53" t="s">
        <v>1767</v>
      </c>
      <c r="AB596" s="16" t="s">
        <v>1769</v>
      </c>
      <c r="AC596" s="16">
        <v>133.34</v>
      </c>
      <c r="AD596" s="16">
        <v>400</v>
      </c>
      <c r="AE596" s="16">
        <f>ROUND(AC596*100,0)</f>
        <v>13334</v>
      </c>
      <c r="AF596" s="16">
        <f>ROUND(AD596*100,0)</f>
        <v>40000</v>
      </c>
      <c r="AG596" s="19" t="str">
        <f>IF(AC596=AD596,"TAM",(CONCATENATE(AE596,"/",AF596)))</f>
        <v>13334/40000</v>
      </c>
      <c r="AH596" s="11" t="s">
        <v>50</v>
      </c>
      <c r="AI596" s="21" t="s">
        <v>50</v>
      </c>
      <c r="AJ596" s="21" t="s">
        <v>1768</v>
      </c>
      <c r="AK596" s="54" t="s">
        <v>50</v>
      </c>
      <c r="AL596" s="1" t="s">
        <v>50</v>
      </c>
    </row>
    <row r="597" spans="1:37" ht="12.75" customHeight="1">
      <c r="A597" s="43"/>
      <c r="B597" s="13"/>
      <c r="C597" s="13"/>
      <c r="D597" s="31"/>
      <c r="E597" s="14" t="s">
        <v>50</v>
      </c>
      <c r="F597" s="14"/>
      <c r="G597" s="14"/>
      <c r="H597" s="14"/>
      <c r="I597" s="31"/>
      <c r="J597" s="31"/>
      <c r="K597" s="15"/>
      <c r="L597" s="15"/>
      <c r="M597" s="15"/>
      <c r="N597" s="15"/>
      <c r="O597" s="15"/>
      <c r="P597" s="14"/>
      <c r="Q597" s="14"/>
      <c r="R597" s="14"/>
      <c r="S597" s="14"/>
      <c r="T597" s="14"/>
      <c r="U597" s="14"/>
      <c r="V597" s="14"/>
      <c r="W597" s="14"/>
      <c r="X597" s="14"/>
      <c r="Y597" s="13"/>
      <c r="Z597" s="44"/>
      <c r="AA597" s="43"/>
      <c r="AB597" s="13"/>
      <c r="AC597" s="13"/>
      <c r="AD597" s="13"/>
      <c r="AE597" s="13"/>
      <c r="AF597" s="13"/>
      <c r="AG597" s="13"/>
      <c r="AH597" s="13"/>
      <c r="AI597" s="13"/>
      <c r="AJ597" s="13"/>
      <c r="AK597" s="44"/>
    </row>
    <row r="598" spans="1:38" ht="12.75" customHeight="1">
      <c r="A598" s="41">
        <v>175</v>
      </c>
      <c r="B598" s="10">
        <v>1058</v>
      </c>
      <c r="C598" s="10" t="s">
        <v>1770</v>
      </c>
      <c r="D598" s="16">
        <v>2006.21</v>
      </c>
      <c r="E598" s="20" t="s">
        <v>1771</v>
      </c>
      <c r="F598" s="20" t="s">
        <v>1772</v>
      </c>
      <c r="G598" s="12">
        <v>1</v>
      </c>
      <c r="H598" s="12">
        <v>3</v>
      </c>
      <c r="I598" s="16">
        <f>ROUND(G598,0)</f>
        <v>1</v>
      </c>
      <c r="J598" s="16">
        <f>ROUND(H598,0)</f>
        <v>3</v>
      </c>
      <c r="K598" s="18" t="str">
        <f>IF(I598=J598,"TAM",(CONCATENATE(G598,"/",H598)))</f>
        <v>1/3</v>
      </c>
      <c r="L598" s="29">
        <f>2006.21*1/3</f>
        <v>668.7366666666667</v>
      </c>
      <c r="M598" s="30">
        <v>0</v>
      </c>
      <c r="N598" s="16" t="str">
        <f>IF(M598=0,"0",(O598*M598))</f>
        <v>0</v>
      </c>
      <c r="O598" s="16">
        <f>IF(W598=1,L598,((D598*G598/H598)-P598)/(1-V598)-S598-T598)</f>
        <v>668.7366666666667</v>
      </c>
      <c r="P598" s="16">
        <v>0</v>
      </c>
      <c r="Q598" s="16">
        <f>IF(U598=0,"0",O598*U598)</f>
        <v>223.86122534330565</v>
      </c>
      <c r="R598" s="17">
        <f>IF(U598=0,(((D598*G598/H598)-P598-S598-T598)/(1-V598)),(((D598*G598/H598)-P598-S598-T598)/(1-V598))-((D598*G598/H598)-P598-S598-T598)*U598/(1-V598))</f>
        <v>444.87544132336103</v>
      </c>
      <c r="S598" s="12">
        <v>0</v>
      </c>
      <c r="T598" s="12">
        <v>0</v>
      </c>
      <c r="U598" s="12">
        <v>0.334752431714485</v>
      </c>
      <c r="V598" s="12">
        <v>0</v>
      </c>
      <c r="W598" s="28">
        <f>IF(V598&gt;U598,1,V598)</f>
        <v>0</v>
      </c>
      <c r="X598" s="12">
        <v>1</v>
      </c>
      <c r="Y598" s="16">
        <v>0</v>
      </c>
      <c r="Z598" s="42" t="str">
        <f>IF(OR(W598=1,W598=0),"0",(Q598-N598))</f>
        <v>0</v>
      </c>
      <c r="AA598" s="53" t="s">
        <v>1773</v>
      </c>
      <c r="AB598" s="16" t="s">
        <v>1775</v>
      </c>
      <c r="AC598" s="16">
        <v>133.33</v>
      </c>
      <c r="AD598" s="16">
        <v>400</v>
      </c>
      <c r="AE598" s="16">
        <f>ROUND(AC598*100,0)</f>
        <v>13333</v>
      </c>
      <c r="AF598" s="16">
        <f>ROUND(AD598*100,0)</f>
        <v>40000</v>
      </c>
      <c r="AG598" s="19" t="str">
        <f>IF(AC598=AD598,"TAM",(CONCATENATE(AE598,"/",AF598)))</f>
        <v>13333/40000</v>
      </c>
      <c r="AH598" s="11" t="s">
        <v>50</v>
      </c>
      <c r="AI598" s="21" t="s">
        <v>50</v>
      </c>
      <c r="AJ598" s="21" t="s">
        <v>1774</v>
      </c>
      <c r="AK598" s="54" t="s">
        <v>50</v>
      </c>
      <c r="AL598" s="1" t="s">
        <v>50</v>
      </c>
    </row>
    <row r="599" spans="1:37" ht="12.75" customHeight="1">
      <c r="A599" s="43"/>
      <c r="B599" s="13"/>
      <c r="C599" s="13"/>
      <c r="D599" s="31"/>
      <c r="E599" s="14" t="s">
        <v>50</v>
      </c>
      <c r="F599" s="14"/>
      <c r="G599" s="14"/>
      <c r="H599" s="14"/>
      <c r="I599" s="31"/>
      <c r="J599" s="31"/>
      <c r="K599" s="15"/>
      <c r="L599" s="15"/>
      <c r="M599" s="15"/>
      <c r="N599" s="15"/>
      <c r="O599" s="15"/>
      <c r="P599" s="14"/>
      <c r="Q599" s="14"/>
      <c r="R599" s="14"/>
      <c r="S599" s="14"/>
      <c r="T599" s="14"/>
      <c r="U599" s="14"/>
      <c r="V599" s="14"/>
      <c r="W599" s="14"/>
      <c r="X599" s="14"/>
      <c r="Y599" s="13"/>
      <c r="Z599" s="44"/>
      <c r="AA599" s="43"/>
      <c r="AB599" s="13"/>
      <c r="AC599" s="13"/>
      <c r="AD599" s="13"/>
      <c r="AE599" s="13"/>
      <c r="AF599" s="13"/>
      <c r="AG599" s="13"/>
      <c r="AH599" s="13"/>
      <c r="AI599" s="13"/>
      <c r="AJ599" s="13"/>
      <c r="AK599" s="44"/>
    </row>
    <row r="600" spans="1:38" ht="12.75" customHeight="1">
      <c r="A600" s="41">
        <v>176</v>
      </c>
      <c r="B600" s="10">
        <v>1058</v>
      </c>
      <c r="C600" s="10" t="s">
        <v>1776</v>
      </c>
      <c r="D600" s="16">
        <v>2006.21</v>
      </c>
      <c r="E600" s="20" t="s">
        <v>1777</v>
      </c>
      <c r="F600" s="20" t="s">
        <v>1778</v>
      </c>
      <c r="G600" s="12">
        <v>1</v>
      </c>
      <c r="H600" s="12">
        <v>3</v>
      </c>
      <c r="I600" s="16">
        <f>ROUND(G600,0)</f>
        <v>1</v>
      </c>
      <c r="J600" s="16">
        <f>ROUND(H600,0)</f>
        <v>3</v>
      </c>
      <c r="K600" s="18" t="str">
        <f>IF(I600=J600,"TAM",(CONCATENATE(G600,"/",H600)))</f>
        <v>1/3</v>
      </c>
      <c r="L600" s="29">
        <f>2006.21*1/3</f>
        <v>668.7366666666667</v>
      </c>
      <c r="M600" s="30">
        <v>0</v>
      </c>
      <c r="N600" s="16" t="str">
        <f>IF(M600=0,"0",(O600*M600))</f>
        <v>0</v>
      </c>
      <c r="O600" s="16">
        <f>IF(W600=1,L600,((D600*G600/H600)-P600)/(1-V600)-S600-T600)</f>
        <v>668.7366666666667</v>
      </c>
      <c r="P600" s="16">
        <v>0</v>
      </c>
      <c r="Q600" s="16">
        <f>IF(U600=0,"0",O600*U600)</f>
        <v>223.86122534330565</v>
      </c>
      <c r="R600" s="17">
        <f>IF(U600=0,(((D600*G600/H600)-P600-S600-T600)/(1-V600)),(((D600*G600/H600)-P600-S600-T600)/(1-V600))-((D600*G600/H600)-P600-S600-T600)*U600/(1-V600))</f>
        <v>444.87544132336103</v>
      </c>
      <c r="S600" s="12">
        <v>0</v>
      </c>
      <c r="T600" s="12">
        <v>0</v>
      </c>
      <c r="U600" s="12">
        <v>0.334752431714485</v>
      </c>
      <c r="V600" s="12">
        <v>0</v>
      </c>
      <c r="W600" s="28">
        <f>IF(V600&gt;U600,1,V600)</f>
        <v>0</v>
      </c>
      <c r="X600" s="12">
        <v>1</v>
      </c>
      <c r="Y600" s="16">
        <v>0</v>
      </c>
      <c r="Z600" s="42" t="str">
        <f>IF(OR(W600=1,W600=0),"0",(Q600-N600))</f>
        <v>0</v>
      </c>
      <c r="AA600" s="53" t="s">
        <v>1779</v>
      </c>
      <c r="AB600" s="16" t="s">
        <v>1781</v>
      </c>
      <c r="AC600" s="16">
        <v>133.33</v>
      </c>
      <c r="AD600" s="16">
        <v>400</v>
      </c>
      <c r="AE600" s="16">
        <f>ROUND(AC600*100,0)</f>
        <v>13333</v>
      </c>
      <c r="AF600" s="16">
        <f>ROUND(AD600*100,0)</f>
        <v>40000</v>
      </c>
      <c r="AG600" s="19" t="str">
        <f>IF(AC600=AD600,"TAM",(CONCATENATE(AE600,"/",AF600)))</f>
        <v>13333/40000</v>
      </c>
      <c r="AH600" s="11" t="s">
        <v>50</v>
      </c>
      <c r="AI600" s="21" t="s">
        <v>50</v>
      </c>
      <c r="AJ600" s="21" t="s">
        <v>1780</v>
      </c>
      <c r="AK600" s="54" t="s">
        <v>50</v>
      </c>
      <c r="AL600" s="1" t="s">
        <v>50</v>
      </c>
    </row>
    <row r="601" spans="1:37" ht="12.75" customHeight="1">
      <c r="A601" s="43"/>
      <c r="B601" s="13"/>
      <c r="C601" s="13"/>
      <c r="D601" s="31"/>
      <c r="E601" s="14" t="s">
        <v>50</v>
      </c>
      <c r="F601" s="14"/>
      <c r="G601" s="14"/>
      <c r="H601" s="14"/>
      <c r="I601" s="31"/>
      <c r="J601" s="31"/>
      <c r="K601" s="15"/>
      <c r="L601" s="15"/>
      <c r="M601" s="15"/>
      <c r="N601" s="15"/>
      <c r="O601" s="15"/>
      <c r="P601" s="14"/>
      <c r="Q601" s="14"/>
      <c r="R601" s="14"/>
      <c r="S601" s="14"/>
      <c r="T601" s="14"/>
      <c r="U601" s="14"/>
      <c r="V601" s="14"/>
      <c r="W601" s="14"/>
      <c r="X601" s="14"/>
      <c r="Y601" s="13"/>
      <c r="Z601" s="44"/>
      <c r="AA601" s="43"/>
      <c r="AB601" s="13"/>
      <c r="AC601" s="13"/>
      <c r="AD601" s="13"/>
      <c r="AE601" s="13"/>
      <c r="AF601" s="13"/>
      <c r="AG601" s="13"/>
      <c r="AH601" s="13"/>
      <c r="AI601" s="13"/>
      <c r="AJ601" s="13"/>
      <c r="AK601" s="44"/>
    </row>
    <row r="602" spans="1:38" ht="12.75" customHeight="1">
      <c r="A602" s="41">
        <v>232</v>
      </c>
      <c r="B602" s="10">
        <v>1073</v>
      </c>
      <c r="C602" s="10" t="s">
        <v>1782</v>
      </c>
      <c r="D602" s="16">
        <v>259.47</v>
      </c>
      <c r="E602" s="20" t="s">
        <v>1783</v>
      </c>
      <c r="F602" s="20" t="s">
        <v>1784</v>
      </c>
      <c r="G602" s="12">
        <v>3</v>
      </c>
      <c r="H602" s="12">
        <v>16</v>
      </c>
      <c r="I602" s="16">
        <f>ROUND(G602,0)</f>
        <v>3</v>
      </c>
      <c r="J602" s="16">
        <f>ROUND(H602,0)</f>
        <v>16</v>
      </c>
      <c r="K602" s="18" t="str">
        <f>IF(I602=J602,"TAM",(CONCATENATE(G602,"/",H602)))</f>
        <v>3/16</v>
      </c>
      <c r="L602" s="29">
        <f>259.47*3/16</f>
        <v>48.650625000000005</v>
      </c>
      <c r="M602" s="30">
        <v>0</v>
      </c>
      <c r="N602" s="16" t="str">
        <f>IF(M602=0,"0",(O602*M602))</f>
        <v>0</v>
      </c>
      <c r="O602" s="16">
        <f>IF(W602=1,L602,((D602*G602/H602)-P602)/(1-V602)-S602-T602)</f>
        <v>48.650625000000005</v>
      </c>
      <c r="P602" s="16">
        <v>0</v>
      </c>
      <c r="Q602" s="16">
        <f>IF(U602=0,"0",O602*U602)</f>
        <v>16.285915023179516</v>
      </c>
      <c r="R602" s="17">
        <f>IF(U602=0,(((D602*G602/H602)-P602-S602-T602)/(1-V602)),(((D602*G602/H602)-P602-S602-T602)/(1-V602))-((D602*G602/H602)-P602-S602-T602)*U602/(1-V602))</f>
        <v>32.36470997682049</v>
      </c>
      <c r="S602" s="12">
        <v>0</v>
      </c>
      <c r="T602" s="12">
        <v>0</v>
      </c>
      <c r="U602" s="12">
        <v>0.334752431714485</v>
      </c>
      <c r="V602" s="12">
        <v>0</v>
      </c>
      <c r="W602" s="28">
        <f>IF(V602&gt;U602,1,V602)</f>
        <v>0</v>
      </c>
      <c r="X602" s="12">
        <v>1</v>
      </c>
      <c r="Y602" s="16">
        <v>0</v>
      </c>
      <c r="Z602" s="42" t="str">
        <f>IF(OR(W602=1,W602=0),"0",(Q602-N602))</f>
        <v>0</v>
      </c>
      <c r="AA602" s="53" t="s">
        <v>1785</v>
      </c>
      <c r="AB602" s="16" t="s">
        <v>1787</v>
      </c>
      <c r="AC602" s="16">
        <v>32.37</v>
      </c>
      <c r="AD602" s="16">
        <v>420.46</v>
      </c>
      <c r="AE602" s="16">
        <f>ROUND(AC602*100,0)</f>
        <v>3237</v>
      </c>
      <c r="AF602" s="16">
        <f>ROUND(AD602*100,0)</f>
        <v>42046</v>
      </c>
      <c r="AG602" s="19" t="str">
        <f>IF(AC602=AD602,"TAM",(CONCATENATE(AE602,"/",AF602)))</f>
        <v>3237/42046</v>
      </c>
      <c r="AH602" s="11" t="s">
        <v>50</v>
      </c>
      <c r="AI602" s="21" t="s">
        <v>50</v>
      </c>
      <c r="AJ602" s="21" t="s">
        <v>1786</v>
      </c>
      <c r="AK602" s="54" t="s">
        <v>50</v>
      </c>
      <c r="AL602" s="1" t="s">
        <v>50</v>
      </c>
    </row>
    <row r="603" spans="1:37" ht="12.75" customHeight="1">
      <c r="A603" s="43"/>
      <c r="B603" s="13"/>
      <c r="C603" s="13"/>
      <c r="D603" s="31"/>
      <c r="E603" s="14" t="s">
        <v>50</v>
      </c>
      <c r="F603" s="14"/>
      <c r="G603" s="14"/>
      <c r="H603" s="14"/>
      <c r="I603" s="31"/>
      <c r="J603" s="31"/>
      <c r="K603" s="15"/>
      <c r="L603" s="15"/>
      <c r="M603" s="15"/>
      <c r="N603" s="15"/>
      <c r="O603" s="15"/>
      <c r="P603" s="14"/>
      <c r="Q603" s="14"/>
      <c r="R603" s="14"/>
      <c r="S603" s="14"/>
      <c r="T603" s="14"/>
      <c r="U603" s="14"/>
      <c r="V603" s="14"/>
      <c r="W603" s="14"/>
      <c r="X603" s="14"/>
      <c r="Y603" s="13"/>
      <c r="Z603" s="44"/>
      <c r="AA603" s="43"/>
      <c r="AB603" s="13"/>
      <c r="AC603" s="13"/>
      <c r="AD603" s="13"/>
      <c r="AE603" s="13"/>
      <c r="AF603" s="13"/>
      <c r="AG603" s="13"/>
      <c r="AH603" s="13"/>
      <c r="AI603" s="13"/>
      <c r="AJ603" s="13"/>
      <c r="AK603" s="44"/>
    </row>
    <row r="604" spans="1:38" ht="12.75" customHeight="1">
      <c r="A604" s="41">
        <v>235</v>
      </c>
      <c r="B604" s="10">
        <v>1073</v>
      </c>
      <c r="C604" s="10" t="s">
        <v>1788</v>
      </c>
      <c r="D604" s="16">
        <v>259.47</v>
      </c>
      <c r="E604" s="20" t="s">
        <v>1789</v>
      </c>
      <c r="F604" s="20" t="s">
        <v>1790</v>
      </c>
      <c r="G604" s="12">
        <v>3</v>
      </c>
      <c r="H604" s="12">
        <v>16</v>
      </c>
      <c r="I604" s="16">
        <f>ROUND(G604,0)</f>
        <v>3</v>
      </c>
      <c r="J604" s="16">
        <f>ROUND(H604,0)</f>
        <v>16</v>
      </c>
      <c r="K604" s="18" t="str">
        <f>IF(I604=J604,"TAM",(CONCATENATE(G604,"/",H604)))</f>
        <v>3/16</v>
      </c>
      <c r="L604" s="29">
        <f>259.47*3/16</f>
        <v>48.650625000000005</v>
      </c>
      <c r="M604" s="30">
        <v>0</v>
      </c>
      <c r="N604" s="16" t="str">
        <f>IF(M604=0,"0",(O604*M604))</f>
        <v>0</v>
      </c>
      <c r="O604" s="16">
        <f>IF(W604=1,L604,((D604*G604/H604)-P604)/(1-V604)-S604-T604)</f>
        <v>48.650625000000005</v>
      </c>
      <c r="P604" s="16">
        <v>0</v>
      </c>
      <c r="Q604" s="16">
        <f>IF(U604=0,"0",O604*U604)</f>
        <v>16.285915023179516</v>
      </c>
      <c r="R604" s="17">
        <f>IF(U604=0,(((D604*G604/H604)-P604-S604-T604)/(1-V604)),(((D604*G604/H604)-P604-S604-T604)/(1-V604))-((D604*G604/H604)-P604-S604-T604)*U604/(1-V604))</f>
        <v>32.36470997682049</v>
      </c>
      <c r="S604" s="12">
        <v>0</v>
      </c>
      <c r="T604" s="12">
        <v>0</v>
      </c>
      <c r="U604" s="12">
        <v>0.334752431714485</v>
      </c>
      <c r="V604" s="12">
        <v>0</v>
      </c>
      <c r="W604" s="28">
        <f>IF(V604&gt;U604,1,V604)</f>
        <v>0</v>
      </c>
      <c r="X604" s="12">
        <v>1</v>
      </c>
      <c r="Y604" s="16">
        <v>0</v>
      </c>
      <c r="Z604" s="42" t="str">
        <f>IF(OR(W604=1,W604=0),"0",(Q604-N604))</f>
        <v>0</v>
      </c>
      <c r="AA604" s="53" t="s">
        <v>1791</v>
      </c>
      <c r="AB604" s="16" t="s">
        <v>1793</v>
      </c>
      <c r="AC604" s="16">
        <v>32.36</v>
      </c>
      <c r="AD604" s="16">
        <v>420.46</v>
      </c>
      <c r="AE604" s="16">
        <f>ROUND(AC604*100,0)</f>
        <v>3236</v>
      </c>
      <c r="AF604" s="16">
        <f>ROUND(AD604*100,0)</f>
        <v>42046</v>
      </c>
      <c r="AG604" s="19" t="str">
        <f>IF(AC604=AD604,"TAM",(CONCATENATE(AE604,"/",AF604)))</f>
        <v>3236/42046</v>
      </c>
      <c r="AH604" s="11" t="s">
        <v>50</v>
      </c>
      <c r="AI604" s="21" t="s">
        <v>50</v>
      </c>
      <c r="AJ604" s="21" t="s">
        <v>1792</v>
      </c>
      <c r="AK604" s="54" t="s">
        <v>50</v>
      </c>
      <c r="AL604" s="1" t="s">
        <v>50</v>
      </c>
    </row>
    <row r="605" spans="1:37" ht="12.75" customHeight="1">
      <c r="A605" s="43"/>
      <c r="B605" s="13"/>
      <c r="C605" s="13"/>
      <c r="D605" s="31"/>
      <c r="E605" s="14" t="s">
        <v>50</v>
      </c>
      <c r="F605" s="14"/>
      <c r="G605" s="14"/>
      <c r="H605" s="14"/>
      <c r="I605" s="31"/>
      <c r="J605" s="31"/>
      <c r="K605" s="15"/>
      <c r="L605" s="15"/>
      <c r="M605" s="15"/>
      <c r="N605" s="15"/>
      <c r="O605" s="15"/>
      <c r="P605" s="14"/>
      <c r="Q605" s="14"/>
      <c r="R605" s="14"/>
      <c r="S605" s="14"/>
      <c r="T605" s="14"/>
      <c r="U605" s="14"/>
      <c r="V605" s="14"/>
      <c r="W605" s="14"/>
      <c r="X605" s="14"/>
      <c r="Y605" s="13"/>
      <c r="Z605" s="44"/>
      <c r="AA605" s="43"/>
      <c r="AB605" s="13"/>
      <c r="AC605" s="13"/>
      <c r="AD605" s="13"/>
      <c r="AE605" s="13"/>
      <c r="AF605" s="13"/>
      <c r="AG605" s="13"/>
      <c r="AH605" s="13"/>
      <c r="AI605" s="13"/>
      <c r="AJ605" s="13"/>
      <c r="AK605" s="44"/>
    </row>
    <row r="606" spans="1:38" ht="12.75" customHeight="1">
      <c r="A606" s="41">
        <v>234</v>
      </c>
      <c r="B606" s="10">
        <v>1073</v>
      </c>
      <c r="C606" s="10" t="s">
        <v>1794</v>
      </c>
      <c r="D606" s="16">
        <v>259.47</v>
      </c>
      <c r="E606" s="20" t="s">
        <v>1795</v>
      </c>
      <c r="F606" s="20" t="s">
        <v>1796</v>
      </c>
      <c r="G606" s="12">
        <v>3</v>
      </c>
      <c r="H606" s="12">
        <v>16</v>
      </c>
      <c r="I606" s="16">
        <f>ROUND(G606,0)</f>
        <v>3</v>
      </c>
      <c r="J606" s="16">
        <f>ROUND(H606,0)</f>
        <v>16</v>
      </c>
      <c r="K606" s="18" t="str">
        <f>IF(I606=J606,"TAM",(CONCATENATE(G606,"/",H606)))</f>
        <v>3/16</v>
      </c>
      <c r="L606" s="29">
        <f>259.47*3/16</f>
        <v>48.650625000000005</v>
      </c>
      <c r="M606" s="30">
        <v>0</v>
      </c>
      <c r="N606" s="16" t="str">
        <f>IF(M606=0,"0",(O606*M606))</f>
        <v>0</v>
      </c>
      <c r="O606" s="16">
        <f>IF(W606=1,L606,((D606*G606/H606)-P606)/(1-V606)-S606-T606)</f>
        <v>48.650625000000005</v>
      </c>
      <c r="P606" s="16">
        <v>0</v>
      </c>
      <c r="Q606" s="16">
        <f>IF(U606=0,"0",O606*U606)</f>
        <v>16.285915023179516</v>
      </c>
      <c r="R606" s="17">
        <f>IF(U606=0,(((D606*G606/H606)-P606-S606-T606)/(1-V606)),(((D606*G606/H606)-P606-S606-T606)/(1-V606))-((D606*G606/H606)-P606-S606-T606)*U606/(1-V606))</f>
        <v>32.36470997682049</v>
      </c>
      <c r="S606" s="12">
        <v>0</v>
      </c>
      <c r="T606" s="12">
        <v>0</v>
      </c>
      <c r="U606" s="12">
        <v>0.334752431714485</v>
      </c>
      <c r="V606" s="12">
        <v>0</v>
      </c>
      <c r="W606" s="28">
        <f>IF(V606&gt;U606,1,V606)</f>
        <v>0</v>
      </c>
      <c r="X606" s="12">
        <v>1</v>
      </c>
      <c r="Y606" s="16">
        <v>0</v>
      </c>
      <c r="Z606" s="42" t="str">
        <f>IF(OR(W606=1,W606=0),"0",(Q606-N606))</f>
        <v>0</v>
      </c>
      <c r="AA606" s="53" t="s">
        <v>1797</v>
      </c>
      <c r="AB606" s="16" t="s">
        <v>1799</v>
      </c>
      <c r="AC606" s="16">
        <v>32.36</v>
      </c>
      <c r="AD606" s="16">
        <v>420.46</v>
      </c>
      <c r="AE606" s="16">
        <f>ROUND(AC606*100,0)</f>
        <v>3236</v>
      </c>
      <c r="AF606" s="16">
        <f>ROUND(AD606*100,0)</f>
        <v>42046</v>
      </c>
      <c r="AG606" s="19" t="str">
        <f>IF(AC606=AD606,"TAM",(CONCATENATE(AE606,"/",AF606)))</f>
        <v>3236/42046</v>
      </c>
      <c r="AH606" s="11" t="s">
        <v>50</v>
      </c>
      <c r="AI606" s="21" t="s">
        <v>50</v>
      </c>
      <c r="AJ606" s="21" t="s">
        <v>1798</v>
      </c>
      <c r="AK606" s="54" t="s">
        <v>50</v>
      </c>
      <c r="AL606" s="1" t="s">
        <v>50</v>
      </c>
    </row>
    <row r="607" spans="1:37" ht="12.75" customHeight="1">
      <c r="A607" s="43"/>
      <c r="B607" s="13"/>
      <c r="C607" s="13"/>
      <c r="D607" s="31"/>
      <c r="E607" s="14" t="s">
        <v>50</v>
      </c>
      <c r="F607" s="14"/>
      <c r="G607" s="14"/>
      <c r="H607" s="14"/>
      <c r="I607" s="31"/>
      <c r="J607" s="31"/>
      <c r="K607" s="15"/>
      <c r="L607" s="15"/>
      <c r="M607" s="15"/>
      <c r="N607" s="15"/>
      <c r="O607" s="15"/>
      <c r="P607" s="14"/>
      <c r="Q607" s="14"/>
      <c r="R607" s="14"/>
      <c r="S607" s="14"/>
      <c r="T607" s="14"/>
      <c r="U607" s="14"/>
      <c r="V607" s="14"/>
      <c r="W607" s="14"/>
      <c r="X607" s="14"/>
      <c r="Y607" s="13"/>
      <c r="Z607" s="44"/>
      <c r="AA607" s="43"/>
      <c r="AB607" s="13"/>
      <c r="AC607" s="13"/>
      <c r="AD607" s="13"/>
      <c r="AE607" s="13"/>
      <c r="AF607" s="13"/>
      <c r="AG607" s="13"/>
      <c r="AH607" s="13"/>
      <c r="AI607" s="13"/>
      <c r="AJ607" s="13"/>
      <c r="AK607" s="44"/>
    </row>
    <row r="608" spans="1:38" ht="12.75" customHeight="1">
      <c r="A608" s="41">
        <v>236</v>
      </c>
      <c r="B608" s="10">
        <v>1073</v>
      </c>
      <c r="C608" s="10" t="s">
        <v>1800</v>
      </c>
      <c r="D608" s="16">
        <v>259.47</v>
      </c>
      <c r="E608" s="20" t="s">
        <v>1801</v>
      </c>
      <c r="F608" s="20" t="s">
        <v>1802</v>
      </c>
      <c r="G608" s="12">
        <v>1</v>
      </c>
      <c r="H608" s="12">
        <v>4</v>
      </c>
      <c r="I608" s="16">
        <f>ROUND(G608,0)</f>
        <v>1</v>
      </c>
      <c r="J608" s="16">
        <f>ROUND(H608,0)</f>
        <v>4</v>
      </c>
      <c r="K608" s="18" t="str">
        <f>IF(I608=J608,"TAM",(CONCATENATE(G608,"/",H608)))</f>
        <v>1/4</v>
      </c>
      <c r="L608" s="29">
        <f>259.47*1/4</f>
        <v>64.8675</v>
      </c>
      <c r="M608" s="30">
        <v>0</v>
      </c>
      <c r="N608" s="16" t="str">
        <f>IF(M608=0,"0",(O608*M608))</f>
        <v>0</v>
      </c>
      <c r="O608" s="16">
        <f>IF(W608=1,L608,((D608*G608/H608)-P608)/(1-V608)-S608-T608)</f>
        <v>64.8675</v>
      </c>
      <c r="P608" s="16">
        <v>0</v>
      </c>
      <c r="Q608" s="16">
        <f>IF(U608=0,"0",O608*U608)</f>
        <v>21.714553364239357</v>
      </c>
      <c r="R608" s="17">
        <f>IF(U608=0,(((D608*G608/H608)-P608-S608-T608)/(1-V608)),(((D608*G608/H608)-P608-S608-T608)/(1-V608))-((D608*G608/H608)-P608-S608-T608)*U608/(1-V608))</f>
        <v>43.15294663576065</v>
      </c>
      <c r="S608" s="12">
        <v>0</v>
      </c>
      <c r="T608" s="12">
        <v>0</v>
      </c>
      <c r="U608" s="12">
        <v>0.334752431714485</v>
      </c>
      <c r="V608" s="12">
        <v>0</v>
      </c>
      <c r="W608" s="28">
        <f>IF(V608&gt;U608,1,V608)</f>
        <v>0</v>
      </c>
      <c r="X608" s="12">
        <v>1</v>
      </c>
      <c r="Y608" s="16">
        <v>0</v>
      </c>
      <c r="Z608" s="42" t="str">
        <f>IF(OR(W608=1,W608=0),"0",(Q608-N608))</f>
        <v>0</v>
      </c>
      <c r="AA608" s="53" t="s">
        <v>1804</v>
      </c>
      <c r="AB608" s="16" t="s">
        <v>1806</v>
      </c>
      <c r="AC608" s="16">
        <v>43.15</v>
      </c>
      <c r="AD608" s="16">
        <v>420.46</v>
      </c>
      <c r="AE608" s="16">
        <f>ROUND(AC608*100,0)</f>
        <v>4315</v>
      </c>
      <c r="AF608" s="16">
        <f>ROUND(AD608*100,0)</f>
        <v>42046</v>
      </c>
      <c r="AG608" s="19" t="str">
        <f>IF(AC608=AD608,"TAM",(CONCATENATE(AE608,"/",AF608)))</f>
        <v>4315/42046</v>
      </c>
      <c r="AH608" s="11" t="s">
        <v>50</v>
      </c>
      <c r="AI608" s="21" t="s">
        <v>50</v>
      </c>
      <c r="AJ608" s="21" t="s">
        <v>1805</v>
      </c>
      <c r="AK608" s="54" t="s">
        <v>50</v>
      </c>
      <c r="AL608" s="1" t="s">
        <v>50</v>
      </c>
    </row>
    <row r="609" spans="1:37" ht="30.75" customHeight="1">
      <c r="A609" s="43"/>
      <c r="B609" s="13"/>
      <c r="C609" s="13"/>
      <c r="D609" s="31"/>
      <c r="E609" s="34" t="s">
        <v>1803</v>
      </c>
      <c r="F609" s="14"/>
      <c r="G609" s="14"/>
      <c r="H609" s="14"/>
      <c r="I609" s="31"/>
      <c r="J609" s="31"/>
      <c r="K609" s="15"/>
      <c r="L609" s="15"/>
      <c r="M609" s="15"/>
      <c r="N609" s="15"/>
      <c r="O609" s="15"/>
      <c r="P609" s="14"/>
      <c r="Q609" s="14"/>
      <c r="R609" s="14"/>
      <c r="S609" s="14"/>
      <c r="T609" s="14"/>
      <c r="U609" s="14"/>
      <c r="V609" s="14"/>
      <c r="W609" s="14"/>
      <c r="X609" s="14"/>
      <c r="Y609" s="13"/>
      <c r="Z609" s="44"/>
      <c r="AA609" s="43"/>
      <c r="AB609" s="13"/>
      <c r="AC609" s="13"/>
      <c r="AD609" s="13"/>
      <c r="AE609" s="13"/>
      <c r="AF609" s="13"/>
      <c r="AG609" s="13"/>
      <c r="AH609" s="13"/>
      <c r="AI609" s="13"/>
      <c r="AJ609" s="13"/>
      <c r="AK609" s="44"/>
    </row>
    <row r="610" spans="1:38" ht="12.75" customHeight="1">
      <c r="A610" s="41">
        <v>233</v>
      </c>
      <c r="B610" s="10">
        <v>1073</v>
      </c>
      <c r="C610" s="10" t="s">
        <v>1807</v>
      </c>
      <c r="D610" s="16">
        <v>259.47</v>
      </c>
      <c r="E610" s="20" t="s">
        <v>1808</v>
      </c>
      <c r="F610" s="20" t="s">
        <v>1809</v>
      </c>
      <c r="G610" s="12">
        <v>3</v>
      </c>
      <c r="H610" s="12">
        <v>16</v>
      </c>
      <c r="I610" s="16">
        <f>ROUND(G610,0)</f>
        <v>3</v>
      </c>
      <c r="J610" s="16">
        <f>ROUND(H610,0)</f>
        <v>16</v>
      </c>
      <c r="K610" s="18" t="str">
        <f>IF(I610=J610,"TAM",(CONCATENATE(G610,"/",H610)))</f>
        <v>3/16</v>
      </c>
      <c r="L610" s="29">
        <f>259.47*3/16</f>
        <v>48.650625000000005</v>
      </c>
      <c r="M610" s="30">
        <v>0</v>
      </c>
      <c r="N610" s="16" t="str">
        <f>IF(M610=0,"0",(O610*M610))</f>
        <v>0</v>
      </c>
      <c r="O610" s="16">
        <f>IF(W610=1,L610,((D610*G610/H610)-P610)/(1-V610)-S610-T610)</f>
        <v>48.650625000000005</v>
      </c>
      <c r="P610" s="16">
        <v>0</v>
      </c>
      <c r="Q610" s="16">
        <f>IF(U610=0,"0",O610*U610)</f>
        <v>16.285915023179516</v>
      </c>
      <c r="R610" s="17">
        <f>IF(U610=0,(((D610*G610/H610)-P610-S610-T610)/(1-V610)),(((D610*G610/H610)-P610-S610-T610)/(1-V610))-((D610*G610/H610)-P610-S610-T610)*U610/(1-V610))</f>
        <v>32.36470997682049</v>
      </c>
      <c r="S610" s="12">
        <v>0</v>
      </c>
      <c r="T610" s="12">
        <v>0</v>
      </c>
      <c r="U610" s="12">
        <v>0.334752431714485</v>
      </c>
      <c r="V610" s="12">
        <v>0</v>
      </c>
      <c r="W610" s="28">
        <f>IF(V610&gt;U610,1,V610)</f>
        <v>0</v>
      </c>
      <c r="X610" s="12">
        <v>1</v>
      </c>
      <c r="Y610" s="16">
        <v>0</v>
      </c>
      <c r="Z610" s="42" t="str">
        <f>IF(OR(W610=1,W610=0),"0",(Q610-N610))</f>
        <v>0</v>
      </c>
      <c r="AA610" s="53" t="s">
        <v>1810</v>
      </c>
      <c r="AB610" s="16" t="s">
        <v>1812</v>
      </c>
      <c r="AC610" s="16">
        <v>32.37</v>
      </c>
      <c r="AD610" s="16">
        <v>420.46</v>
      </c>
      <c r="AE610" s="16">
        <f>ROUND(AC610*100,0)</f>
        <v>3237</v>
      </c>
      <c r="AF610" s="16">
        <f>ROUND(AD610*100,0)</f>
        <v>42046</v>
      </c>
      <c r="AG610" s="19" t="str">
        <f>IF(AC610=AD610,"TAM",(CONCATENATE(AE610,"/",AF610)))</f>
        <v>3237/42046</v>
      </c>
      <c r="AH610" s="11" t="s">
        <v>50</v>
      </c>
      <c r="AI610" s="21" t="s">
        <v>50</v>
      </c>
      <c r="AJ610" s="21" t="s">
        <v>1811</v>
      </c>
      <c r="AK610" s="54" t="s">
        <v>50</v>
      </c>
      <c r="AL610" s="1" t="s">
        <v>50</v>
      </c>
    </row>
    <row r="611" spans="1:37" ht="12.75" customHeight="1">
      <c r="A611" s="43"/>
      <c r="B611" s="13"/>
      <c r="C611" s="13"/>
      <c r="D611" s="31"/>
      <c r="E611" s="14" t="s">
        <v>50</v>
      </c>
      <c r="F611" s="14"/>
      <c r="G611" s="14"/>
      <c r="H611" s="14"/>
      <c r="I611" s="31"/>
      <c r="J611" s="31"/>
      <c r="K611" s="15"/>
      <c r="L611" s="15"/>
      <c r="M611" s="15"/>
      <c r="N611" s="15"/>
      <c r="O611" s="15"/>
      <c r="P611" s="14"/>
      <c r="Q611" s="14"/>
      <c r="R611" s="14"/>
      <c r="S611" s="14"/>
      <c r="T611" s="14"/>
      <c r="U611" s="14"/>
      <c r="V611" s="14"/>
      <c r="W611" s="14"/>
      <c r="X611" s="14"/>
      <c r="Y611" s="13"/>
      <c r="Z611" s="44"/>
      <c r="AA611" s="43"/>
      <c r="AB611" s="13"/>
      <c r="AC611" s="13"/>
      <c r="AD611" s="13"/>
      <c r="AE611" s="13"/>
      <c r="AF611" s="13"/>
      <c r="AG611" s="13"/>
      <c r="AH611" s="13"/>
      <c r="AI611" s="13"/>
      <c r="AJ611" s="13"/>
      <c r="AK611" s="44"/>
    </row>
    <row r="612" spans="1:38" ht="12.75" customHeight="1">
      <c r="A612" s="41">
        <v>240</v>
      </c>
      <c r="B612" s="10">
        <v>1074</v>
      </c>
      <c r="C612" s="10" t="s">
        <v>1813</v>
      </c>
      <c r="D612" s="16">
        <v>141.16</v>
      </c>
      <c r="E612" s="20" t="s">
        <v>1814</v>
      </c>
      <c r="F612" s="20" t="s">
        <v>1815</v>
      </c>
      <c r="G612" s="12">
        <v>1</v>
      </c>
      <c r="H612" s="12">
        <v>1</v>
      </c>
      <c r="I612" s="16">
        <f>ROUND(G612,0)</f>
        <v>1</v>
      </c>
      <c r="J612" s="16">
        <f>ROUND(H612,0)</f>
        <v>1</v>
      </c>
      <c r="K612" s="18" t="str">
        <f>IF(I612=J612,"TAM",(CONCATENATE(G612,"/",H612)))</f>
        <v>TAM</v>
      </c>
      <c r="L612" s="29">
        <f>141.16*1/1</f>
        <v>141.16</v>
      </c>
      <c r="M612" s="30">
        <v>0</v>
      </c>
      <c r="N612" s="16" t="str">
        <f>IF(M612=0,"0",(O612*M612))</f>
        <v>0</v>
      </c>
      <c r="O612" s="16">
        <f>IF(W612=1,L612,((D612*G612/H612)-P612)/(1-V612)-S612-T612)</f>
        <v>141.16</v>
      </c>
      <c r="P612" s="16">
        <v>0</v>
      </c>
      <c r="Q612" s="16">
        <f>IF(U612=0,"0",O612*U612)</f>
        <v>47.2536532608167</v>
      </c>
      <c r="R612" s="17">
        <f>IF(U612=0,(((D612*G612/H612)-P612-S612-T612)/(1-V612)),(((D612*G612/H612)-P612-S612-T612)/(1-V612))-((D612*G612/H612)-P612-S612-T612)*U612/(1-V612))</f>
        <v>93.9063467391833</v>
      </c>
      <c r="S612" s="12">
        <v>0</v>
      </c>
      <c r="T612" s="12">
        <v>0</v>
      </c>
      <c r="U612" s="12">
        <v>0.334752431714485</v>
      </c>
      <c r="V612" s="12">
        <v>0</v>
      </c>
      <c r="W612" s="28">
        <f>IF(V612&gt;U612,1,V612)</f>
        <v>0</v>
      </c>
      <c r="X612" s="12">
        <v>1</v>
      </c>
      <c r="Y612" s="16">
        <v>0</v>
      </c>
      <c r="Z612" s="42" t="str">
        <f>IF(OR(W612=1,W612=0),"0",(Q612-N612))</f>
        <v>0</v>
      </c>
      <c r="AA612" s="53" t="s">
        <v>1816</v>
      </c>
      <c r="AB612" s="16" t="s">
        <v>1818</v>
      </c>
      <c r="AC612" s="16">
        <v>93.91</v>
      </c>
      <c r="AD612" s="16">
        <v>420.46</v>
      </c>
      <c r="AE612" s="16">
        <f>ROUND(AC612*100,0)</f>
        <v>9391</v>
      </c>
      <c r="AF612" s="16">
        <f>ROUND(AD612*100,0)</f>
        <v>42046</v>
      </c>
      <c r="AG612" s="19" t="str">
        <f>IF(AC612=AD612,"TAM",(CONCATENATE(AE612,"/",AF612)))</f>
        <v>9391/42046</v>
      </c>
      <c r="AH612" s="11" t="s">
        <v>50</v>
      </c>
      <c r="AI612" s="21" t="s">
        <v>50</v>
      </c>
      <c r="AJ612" s="21" t="s">
        <v>1817</v>
      </c>
      <c r="AK612" s="54" t="s">
        <v>50</v>
      </c>
      <c r="AL612" s="1" t="s">
        <v>50</v>
      </c>
    </row>
    <row r="613" spans="1:37" ht="12.75" customHeight="1">
      <c r="A613" s="43"/>
      <c r="B613" s="13"/>
      <c r="C613" s="13"/>
      <c r="D613" s="31"/>
      <c r="E613" s="14" t="s">
        <v>50</v>
      </c>
      <c r="F613" s="14"/>
      <c r="G613" s="14"/>
      <c r="H613" s="14"/>
      <c r="I613" s="31"/>
      <c r="J613" s="31"/>
      <c r="K613" s="15"/>
      <c r="L613" s="15"/>
      <c r="M613" s="15"/>
      <c r="N613" s="15"/>
      <c r="O613" s="15"/>
      <c r="P613" s="14"/>
      <c r="Q613" s="14"/>
      <c r="R613" s="14"/>
      <c r="S613" s="14"/>
      <c r="T613" s="14"/>
      <c r="U613" s="14"/>
      <c r="V613" s="14"/>
      <c r="W613" s="14"/>
      <c r="X613" s="14"/>
      <c r="Y613" s="13"/>
      <c r="Z613" s="44"/>
      <c r="AA613" s="43"/>
      <c r="AB613" s="13"/>
      <c r="AC613" s="13"/>
      <c r="AD613" s="13"/>
      <c r="AE613" s="13"/>
      <c r="AF613" s="13"/>
      <c r="AG613" s="13"/>
      <c r="AH613" s="13"/>
      <c r="AI613" s="13"/>
      <c r="AJ613" s="13"/>
      <c r="AK613" s="44"/>
    </row>
    <row r="614" spans="1:38" ht="12.75" customHeight="1">
      <c r="A614" s="41">
        <v>242</v>
      </c>
      <c r="B614" s="10">
        <v>1075</v>
      </c>
      <c r="C614" s="10" t="s">
        <v>1819</v>
      </c>
      <c r="D614" s="16">
        <v>174.83</v>
      </c>
      <c r="E614" s="20" t="s">
        <v>1820</v>
      </c>
      <c r="F614" s="20" t="s">
        <v>1821</v>
      </c>
      <c r="G614" s="12">
        <v>1</v>
      </c>
      <c r="H614" s="12">
        <v>4</v>
      </c>
      <c r="I614" s="16">
        <f>ROUND(G614,0)</f>
        <v>1</v>
      </c>
      <c r="J614" s="16">
        <f>ROUND(H614,0)</f>
        <v>4</v>
      </c>
      <c r="K614" s="18" t="str">
        <f>IF(I614=J614,"TAM",(CONCATENATE(G614,"/",H614)))</f>
        <v>1/4</v>
      </c>
      <c r="L614" s="29">
        <f>174.83*1/4</f>
        <v>43.7075</v>
      </c>
      <c r="M614" s="30">
        <v>0</v>
      </c>
      <c r="N614" s="16" t="str">
        <f>IF(M614=0,"0",(O614*M614))</f>
        <v>0</v>
      </c>
      <c r="O614" s="16">
        <f>IF(W614=1,L614,((D614*G614/H614)-P614)/(1-V614)-S614-T614)</f>
        <v>43.7075</v>
      </c>
      <c r="P614" s="16">
        <v>0</v>
      </c>
      <c r="Q614" s="16">
        <f>IF(U614=0,"0",O614*U614)</f>
        <v>14.631191909160854</v>
      </c>
      <c r="R614" s="17">
        <f>IF(U614=0,(((D614*G614/H614)-P614-S614-T614)/(1-V614)),(((D614*G614/H614)-P614-S614-T614)/(1-V614))-((D614*G614/H614)-P614-S614-T614)*U614/(1-V614))</f>
        <v>29.07630809083915</v>
      </c>
      <c r="S614" s="12">
        <v>0</v>
      </c>
      <c r="T614" s="12">
        <v>0</v>
      </c>
      <c r="U614" s="12">
        <v>0.334752431714485</v>
      </c>
      <c r="V614" s="12">
        <v>0</v>
      </c>
      <c r="W614" s="28">
        <f>IF(V614&gt;U614,1,V614)</f>
        <v>0</v>
      </c>
      <c r="X614" s="12">
        <v>1</v>
      </c>
      <c r="Y614" s="16">
        <v>0</v>
      </c>
      <c r="Z614" s="42" t="str">
        <f>IF(OR(W614=1,W614=0),"0",(Q614-N614))</f>
        <v>0</v>
      </c>
      <c r="AA614" s="53" t="s">
        <v>1822</v>
      </c>
      <c r="AB614" s="16" t="s">
        <v>1824</v>
      </c>
      <c r="AC614" s="16">
        <v>29.08</v>
      </c>
      <c r="AD614" s="16">
        <v>420.46</v>
      </c>
      <c r="AE614" s="16">
        <f>ROUND(AC614*100,0)</f>
        <v>2908</v>
      </c>
      <c r="AF614" s="16">
        <f>ROUND(AD614*100,0)</f>
        <v>42046</v>
      </c>
      <c r="AG614" s="19" t="str">
        <f>IF(AC614=AD614,"TAM",(CONCATENATE(AE614,"/",AF614)))</f>
        <v>2908/42046</v>
      </c>
      <c r="AH614" s="11" t="s">
        <v>50</v>
      </c>
      <c r="AI614" s="21" t="s">
        <v>50</v>
      </c>
      <c r="AJ614" s="21" t="s">
        <v>1823</v>
      </c>
      <c r="AK614" s="54" t="s">
        <v>50</v>
      </c>
      <c r="AL614" s="1" t="s">
        <v>50</v>
      </c>
    </row>
    <row r="615" spans="1:37" ht="12.75" customHeight="1">
      <c r="A615" s="43"/>
      <c r="B615" s="13"/>
      <c r="C615" s="13"/>
      <c r="D615" s="31"/>
      <c r="E615" s="14" t="s">
        <v>50</v>
      </c>
      <c r="F615" s="14"/>
      <c r="G615" s="14"/>
      <c r="H615" s="14"/>
      <c r="I615" s="31"/>
      <c r="J615" s="31"/>
      <c r="K615" s="15"/>
      <c r="L615" s="15"/>
      <c r="M615" s="15"/>
      <c r="N615" s="15"/>
      <c r="O615" s="15"/>
      <c r="P615" s="14"/>
      <c r="Q615" s="14"/>
      <c r="R615" s="14"/>
      <c r="S615" s="14"/>
      <c r="T615" s="14"/>
      <c r="U615" s="14"/>
      <c r="V615" s="14"/>
      <c r="W615" s="14"/>
      <c r="X615" s="14"/>
      <c r="Y615" s="13"/>
      <c r="Z615" s="44"/>
      <c r="AA615" s="43"/>
      <c r="AB615" s="13"/>
      <c r="AC615" s="13"/>
      <c r="AD615" s="13"/>
      <c r="AE615" s="13"/>
      <c r="AF615" s="13"/>
      <c r="AG615" s="13"/>
      <c r="AH615" s="13"/>
      <c r="AI615" s="13"/>
      <c r="AJ615" s="13"/>
      <c r="AK615" s="44"/>
    </row>
    <row r="616" spans="1:38" ht="12.75" customHeight="1">
      <c r="A616" s="41">
        <v>243</v>
      </c>
      <c r="B616" s="10">
        <v>1075</v>
      </c>
      <c r="C616" s="10" t="s">
        <v>1825</v>
      </c>
      <c r="D616" s="16">
        <v>174.83</v>
      </c>
      <c r="E616" s="20" t="s">
        <v>1826</v>
      </c>
      <c r="F616" s="20" t="s">
        <v>1827</v>
      </c>
      <c r="G616" s="12">
        <v>1</v>
      </c>
      <c r="H616" s="12">
        <v>4</v>
      </c>
      <c r="I616" s="16">
        <f>ROUND(G616,0)</f>
        <v>1</v>
      </c>
      <c r="J616" s="16">
        <f>ROUND(H616,0)</f>
        <v>4</v>
      </c>
      <c r="K616" s="18" t="str">
        <f>IF(I616=J616,"TAM",(CONCATENATE(G616,"/",H616)))</f>
        <v>1/4</v>
      </c>
      <c r="L616" s="29">
        <f>174.83*1/4</f>
        <v>43.7075</v>
      </c>
      <c r="M616" s="30">
        <v>0</v>
      </c>
      <c r="N616" s="16" t="str">
        <f>IF(M616=0,"0",(O616*M616))</f>
        <v>0</v>
      </c>
      <c r="O616" s="16">
        <f>IF(W616=1,L616,((D616*G616/H616)-P616)/(1-V616)-S616-T616)</f>
        <v>43.7075</v>
      </c>
      <c r="P616" s="16">
        <v>0</v>
      </c>
      <c r="Q616" s="16">
        <f>IF(U616=0,"0",O616*U616)</f>
        <v>14.631191909160854</v>
      </c>
      <c r="R616" s="17">
        <f>IF(U616=0,(((D616*G616/H616)-P616-S616-T616)/(1-V616)),(((D616*G616/H616)-P616-S616-T616)/(1-V616))-((D616*G616/H616)-P616-S616-T616)*U616/(1-V616))</f>
        <v>29.07630809083915</v>
      </c>
      <c r="S616" s="12">
        <v>0</v>
      </c>
      <c r="T616" s="12">
        <v>0</v>
      </c>
      <c r="U616" s="12">
        <v>0.334752431714485</v>
      </c>
      <c r="V616" s="12">
        <v>0</v>
      </c>
      <c r="W616" s="28">
        <f>IF(V616&gt;U616,1,V616)</f>
        <v>0</v>
      </c>
      <c r="X616" s="12">
        <v>1</v>
      </c>
      <c r="Y616" s="16">
        <v>0</v>
      </c>
      <c r="Z616" s="42" t="str">
        <f>IF(OR(W616=1,W616=0),"0",(Q616-N616))</f>
        <v>0</v>
      </c>
      <c r="AA616" s="53" t="s">
        <v>1829</v>
      </c>
      <c r="AB616" s="16" t="s">
        <v>1831</v>
      </c>
      <c r="AC616" s="16">
        <v>29.08</v>
      </c>
      <c r="AD616" s="16">
        <v>420.46</v>
      </c>
      <c r="AE616" s="16">
        <f>ROUND(AC616*100,0)</f>
        <v>2908</v>
      </c>
      <c r="AF616" s="16">
        <f>ROUND(AD616*100,0)</f>
        <v>42046</v>
      </c>
      <c r="AG616" s="19" t="str">
        <f>IF(AC616=AD616,"TAM",(CONCATENATE(AE616,"/",AF616)))</f>
        <v>2908/42046</v>
      </c>
      <c r="AH616" s="11" t="s">
        <v>50</v>
      </c>
      <c r="AI616" s="21" t="s">
        <v>50</v>
      </c>
      <c r="AJ616" s="21" t="s">
        <v>1830</v>
      </c>
      <c r="AK616" s="54" t="s">
        <v>50</v>
      </c>
      <c r="AL616" s="1" t="s">
        <v>50</v>
      </c>
    </row>
    <row r="617" spans="1:37" ht="32.25" customHeight="1">
      <c r="A617" s="43"/>
      <c r="B617" s="13"/>
      <c r="C617" s="13"/>
      <c r="D617" s="31"/>
      <c r="E617" s="34" t="s">
        <v>1828</v>
      </c>
      <c r="F617" s="14"/>
      <c r="G617" s="14"/>
      <c r="H617" s="14"/>
      <c r="I617" s="31"/>
      <c r="J617" s="31"/>
      <c r="K617" s="15"/>
      <c r="L617" s="15"/>
      <c r="M617" s="15"/>
      <c r="N617" s="15"/>
      <c r="O617" s="15"/>
      <c r="P617" s="14"/>
      <c r="Q617" s="14"/>
      <c r="R617" s="14"/>
      <c r="S617" s="14"/>
      <c r="T617" s="14"/>
      <c r="U617" s="14"/>
      <c r="V617" s="14"/>
      <c r="W617" s="14"/>
      <c r="X617" s="14"/>
      <c r="Y617" s="13"/>
      <c r="Z617" s="44"/>
      <c r="AA617" s="43"/>
      <c r="AB617" s="13"/>
      <c r="AC617" s="13"/>
      <c r="AD617" s="13"/>
      <c r="AE617" s="13"/>
      <c r="AF617" s="13"/>
      <c r="AG617" s="13"/>
      <c r="AH617" s="13"/>
      <c r="AI617" s="13"/>
      <c r="AJ617" s="13"/>
      <c r="AK617" s="44"/>
    </row>
    <row r="618" spans="1:38" ht="12.75" customHeight="1">
      <c r="A618" s="41">
        <v>247</v>
      </c>
      <c r="B618" s="10">
        <v>1075</v>
      </c>
      <c r="C618" s="10" t="s">
        <v>1832</v>
      </c>
      <c r="D618" s="16">
        <v>174.83</v>
      </c>
      <c r="E618" s="20" t="s">
        <v>1833</v>
      </c>
      <c r="F618" s="20" t="s">
        <v>1834</v>
      </c>
      <c r="G618" s="12">
        <v>1</v>
      </c>
      <c r="H618" s="12">
        <v>4</v>
      </c>
      <c r="I618" s="16">
        <f>ROUND(G618,0)</f>
        <v>1</v>
      </c>
      <c r="J618" s="16">
        <f>ROUND(H618,0)</f>
        <v>4</v>
      </c>
      <c r="K618" s="18" t="str">
        <f>IF(I618=J618,"TAM",(CONCATENATE(G618,"/",H618)))</f>
        <v>1/4</v>
      </c>
      <c r="L618" s="29">
        <f>174.83*1/4</f>
        <v>43.7075</v>
      </c>
      <c r="M618" s="30">
        <v>0</v>
      </c>
      <c r="N618" s="16" t="str">
        <f>IF(M618=0,"0",(O618*M618))</f>
        <v>0</v>
      </c>
      <c r="O618" s="16">
        <f>IF(W618=1,L618,((D618*G618/H618)-P618)/(1-V618)-S618-T618)</f>
        <v>43.7075</v>
      </c>
      <c r="P618" s="16">
        <v>0</v>
      </c>
      <c r="Q618" s="16">
        <f>IF(U618=0,"0",O618*U618)</f>
        <v>14.631191909160854</v>
      </c>
      <c r="R618" s="17">
        <f>IF(U618=0,(((D618*G618/H618)-P618-S618-T618)/(1-V618)),(((D618*G618/H618)-P618-S618-T618)/(1-V618))-((D618*G618/H618)-P618-S618-T618)*U618/(1-V618))</f>
        <v>29.07630809083915</v>
      </c>
      <c r="S618" s="12">
        <v>0</v>
      </c>
      <c r="T618" s="12">
        <v>0</v>
      </c>
      <c r="U618" s="12">
        <v>0.334752431714485</v>
      </c>
      <c r="V618" s="12">
        <v>0</v>
      </c>
      <c r="W618" s="28">
        <f>IF(V618&gt;U618,1,V618)</f>
        <v>0</v>
      </c>
      <c r="X618" s="12">
        <v>1</v>
      </c>
      <c r="Y618" s="16">
        <v>0</v>
      </c>
      <c r="Z618" s="42" t="str">
        <f>IF(OR(W618=1,W618=0),"0",(Q618-N618))</f>
        <v>0</v>
      </c>
      <c r="AA618" s="53" t="s">
        <v>1836</v>
      </c>
      <c r="AB618" s="16" t="s">
        <v>1838</v>
      </c>
      <c r="AC618" s="16">
        <v>29.07</v>
      </c>
      <c r="AD618" s="16">
        <v>420.46</v>
      </c>
      <c r="AE618" s="16">
        <f>ROUND(AC618*100,0)</f>
        <v>2907</v>
      </c>
      <c r="AF618" s="16">
        <f>ROUND(AD618*100,0)</f>
        <v>42046</v>
      </c>
      <c r="AG618" s="19" t="str">
        <f>IF(AC618=AD618,"TAM",(CONCATENATE(AE618,"/",AF618)))</f>
        <v>2907/42046</v>
      </c>
      <c r="AH618" s="11" t="s">
        <v>50</v>
      </c>
      <c r="AI618" s="21" t="s">
        <v>50</v>
      </c>
      <c r="AJ618" s="21" t="s">
        <v>1837</v>
      </c>
      <c r="AK618" s="54" t="s">
        <v>50</v>
      </c>
      <c r="AL618" s="1" t="s">
        <v>50</v>
      </c>
    </row>
    <row r="619" spans="1:37" ht="33.75" customHeight="1">
      <c r="A619" s="43"/>
      <c r="B619" s="13"/>
      <c r="C619" s="13"/>
      <c r="D619" s="31"/>
      <c r="E619" s="34" t="s">
        <v>1835</v>
      </c>
      <c r="F619" s="14"/>
      <c r="G619" s="14"/>
      <c r="H619" s="14"/>
      <c r="I619" s="31"/>
      <c r="J619" s="31"/>
      <c r="K619" s="15"/>
      <c r="L619" s="15"/>
      <c r="M619" s="15"/>
      <c r="N619" s="15"/>
      <c r="O619" s="15"/>
      <c r="P619" s="14"/>
      <c r="Q619" s="14"/>
      <c r="R619" s="14"/>
      <c r="S619" s="14"/>
      <c r="T619" s="14"/>
      <c r="U619" s="14"/>
      <c r="V619" s="14"/>
      <c r="W619" s="14"/>
      <c r="X619" s="14"/>
      <c r="Y619" s="13"/>
      <c r="Z619" s="44"/>
      <c r="AA619" s="43"/>
      <c r="AB619" s="13"/>
      <c r="AC619" s="13"/>
      <c r="AD619" s="13"/>
      <c r="AE619" s="13"/>
      <c r="AF619" s="13"/>
      <c r="AG619" s="13"/>
      <c r="AH619" s="13"/>
      <c r="AI619" s="13"/>
      <c r="AJ619" s="13"/>
      <c r="AK619" s="44"/>
    </row>
    <row r="620" spans="1:38" ht="12.75" customHeight="1">
      <c r="A620" s="41">
        <v>241</v>
      </c>
      <c r="B620" s="10">
        <v>1075</v>
      </c>
      <c r="C620" s="10" t="s">
        <v>1839</v>
      </c>
      <c r="D620" s="16">
        <v>174.83</v>
      </c>
      <c r="E620" s="20" t="s">
        <v>1840</v>
      </c>
      <c r="F620" s="20" t="s">
        <v>1841</v>
      </c>
      <c r="G620" s="12">
        <v>1</v>
      </c>
      <c r="H620" s="12">
        <v>4</v>
      </c>
      <c r="I620" s="16">
        <f>ROUND(G620,0)</f>
        <v>1</v>
      </c>
      <c r="J620" s="16">
        <f>ROUND(H620,0)</f>
        <v>4</v>
      </c>
      <c r="K620" s="18" t="str">
        <f>IF(I620=J620,"TAM",(CONCATENATE(G620,"/",H620)))</f>
        <v>1/4</v>
      </c>
      <c r="L620" s="29">
        <f>174.83*1/4</f>
        <v>43.7075</v>
      </c>
      <c r="M620" s="30">
        <v>0</v>
      </c>
      <c r="N620" s="16" t="str">
        <f>IF(M620=0,"0",(O620*M620))</f>
        <v>0</v>
      </c>
      <c r="O620" s="16">
        <f>IF(W620=1,L620,((D620*G620/H620)-P620)/(1-V620)-S620-T620)</f>
        <v>43.7075</v>
      </c>
      <c r="P620" s="16">
        <v>0</v>
      </c>
      <c r="Q620" s="16">
        <f>IF(U620=0,"0",O620*U620)</f>
        <v>14.631191909160854</v>
      </c>
      <c r="R620" s="17">
        <f>IF(U620=0,(((D620*G620/H620)-P620-S620-T620)/(1-V620)),(((D620*G620/H620)-P620-S620-T620)/(1-V620))-((D620*G620/H620)-P620-S620-T620)*U620/(1-V620))</f>
        <v>29.07630809083915</v>
      </c>
      <c r="S620" s="12">
        <v>0</v>
      </c>
      <c r="T620" s="12">
        <v>0</v>
      </c>
      <c r="U620" s="12">
        <v>0.334752431714485</v>
      </c>
      <c r="V620" s="12">
        <v>0</v>
      </c>
      <c r="W620" s="28">
        <f>IF(V620&gt;U620,1,V620)</f>
        <v>0</v>
      </c>
      <c r="X620" s="12">
        <v>1</v>
      </c>
      <c r="Y620" s="16">
        <v>0</v>
      </c>
      <c r="Z620" s="42" t="str">
        <f>IF(OR(W620=1,W620=0),"0",(Q620-N620))</f>
        <v>0</v>
      </c>
      <c r="AA620" s="53" t="s">
        <v>1842</v>
      </c>
      <c r="AB620" s="16" t="s">
        <v>1844</v>
      </c>
      <c r="AC620" s="16">
        <v>29.08</v>
      </c>
      <c r="AD620" s="16">
        <v>420.46</v>
      </c>
      <c r="AE620" s="16">
        <f>ROUND(AC620*100,0)</f>
        <v>2908</v>
      </c>
      <c r="AF620" s="16">
        <f>ROUND(AD620*100,0)</f>
        <v>42046</v>
      </c>
      <c r="AG620" s="19" t="str">
        <f>IF(AC620=AD620,"TAM",(CONCATENATE(AE620,"/",AF620)))</f>
        <v>2908/42046</v>
      </c>
      <c r="AH620" s="11" t="s">
        <v>50</v>
      </c>
      <c r="AI620" s="21" t="s">
        <v>50</v>
      </c>
      <c r="AJ620" s="21" t="s">
        <v>1843</v>
      </c>
      <c r="AK620" s="54" t="s">
        <v>50</v>
      </c>
      <c r="AL620" s="1" t="s">
        <v>50</v>
      </c>
    </row>
    <row r="621" spans="1:37" ht="12.75" customHeight="1">
      <c r="A621" s="43"/>
      <c r="B621" s="13"/>
      <c r="C621" s="13"/>
      <c r="D621" s="31"/>
      <c r="E621" s="14" t="s">
        <v>50</v>
      </c>
      <c r="F621" s="14"/>
      <c r="G621" s="14"/>
      <c r="H621" s="14"/>
      <c r="I621" s="31"/>
      <c r="J621" s="31"/>
      <c r="K621" s="15"/>
      <c r="L621" s="15"/>
      <c r="M621" s="15"/>
      <c r="N621" s="15"/>
      <c r="O621" s="15"/>
      <c r="P621" s="14"/>
      <c r="Q621" s="14"/>
      <c r="R621" s="14"/>
      <c r="S621" s="14"/>
      <c r="T621" s="14"/>
      <c r="U621" s="14"/>
      <c r="V621" s="14"/>
      <c r="W621" s="14"/>
      <c r="X621" s="14"/>
      <c r="Y621" s="13"/>
      <c r="Z621" s="44"/>
      <c r="AA621" s="43"/>
      <c r="AB621" s="13"/>
      <c r="AC621" s="13"/>
      <c r="AD621" s="13"/>
      <c r="AE621" s="13"/>
      <c r="AF621" s="13"/>
      <c r="AG621" s="13"/>
      <c r="AH621" s="13"/>
      <c r="AI621" s="13"/>
      <c r="AJ621" s="13"/>
      <c r="AK621" s="44"/>
    </row>
    <row r="622" spans="1:38" ht="12.75" customHeight="1">
      <c r="A622" s="41">
        <v>458</v>
      </c>
      <c r="B622" s="10">
        <v>1139</v>
      </c>
      <c r="C622" s="10" t="s">
        <v>1845</v>
      </c>
      <c r="D622" s="16">
        <v>3113.93</v>
      </c>
      <c r="E622" s="20" t="s">
        <v>1846</v>
      </c>
      <c r="F622" s="20" t="s">
        <v>1847</v>
      </c>
      <c r="G622" s="12">
        <v>1</v>
      </c>
      <c r="H622" s="12">
        <v>1</v>
      </c>
      <c r="I622" s="16">
        <f>ROUND(G622,0)</f>
        <v>1</v>
      </c>
      <c r="J622" s="16">
        <f>ROUND(H622,0)</f>
        <v>1</v>
      </c>
      <c r="K622" s="18" t="str">
        <f>IF(I622=J622,"TAM",(CONCATENATE(G622,"/",H622)))</f>
        <v>TAM</v>
      </c>
      <c r="L622" s="29">
        <f>3113.93*1/1</f>
        <v>3113.93</v>
      </c>
      <c r="M622" s="30">
        <v>0</v>
      </c>
      <c r="N622" s="16" t="str">
        <f>IF(M622=0,"0",(O622*M622))</f>
        <v>0</v>
      </c>
      <c r="O622" s="16">
        <f>IF(W622=1,L622,((D622*G622/H622)-P622)/(1-V622)-S622-T622)</f>
        <v>3113.93</v>
      </c>
      <c r="P622" s="16">
        <v>0</v>
      </c>
      <c r="Q622" s="16">
        <f>IF(U622=0,"0",O622*U622)</f>
        <v>1042.3956396886863</v>
      </c>
      <c r="R622" s="17">
        <f>IF(U622=0,(((D622*G622/H622)-P622-S622-T622)/(1-V622)),(((D622*G622/H622)-P622-S622-T622)/(1-V622))-((D622*G622/H622)-P622-S622-T622)*U622/(1-V622))</f>
        <v>2071.5343603113133</v>
      </c>
      <c r="S622" s="12">
        <v>0</v>
      </c>
      <c r="T622" s="12">
        <v>0</v>
      </c>
      <c r="U622" s="12">
        <v>0.334752431714485</v>
      </c>
      <c r="V622" s="12">
        <v>0</v>
      </c>
      <c r="W622" s="28">
        <f>IF(V622&gt;U622,1,V622)</f>
        <v>0</v>
      </c>
      <c r="X622" s="12">
        <v>1</v>
      </c>
      <c r="Y622" s="16">
        <v>0</v>
      </c>
      <c r="Z622" s="42" t="str">
        <f>IF(OR(W622=1,W622=0),"0",(Q622-N622))</f>
        <v>0</v>
      </c>
      <c r="AA622" s="53" t="s">
        <v>1848</v>
      </c>
      <c r="AB622" s="16" t="s">
        <v>1850</v>
      </c>
      <c r="AC622" s="16">
        <v>37.63</v>
      </c>
      <c r="AD622" s="16">
        <v>420.46</v>
      </c>
      <c r="AE622" s="16">
        <f>ROUND(AC622*100,0)</f>
        <v>3763</v>
      </c>
      <c r="AF622" s="16">
        <f>ROUND(AD622*100,0)</f>
        <v>42046</v>
      </c>
      <c r="AG622" s="19" t="str">
        <f>IF(AC622=AD622,"TAM",(CONCATENATE(AE622,"/",AF622)))</f>
        <v>3763/42046</v>
      </c>
      <c r="AH622" s="11" t="s">
        <v>50</v>
      </c>
      <c r="AI622" s="21" t="s">
        <v>50</v>
      </c>
      <c r="AJ622" s="21" t="s">
        <v>1849</v>
      </c>
      <c r="AK622" s="54" t="s">
        <v>50</v>
      </c>
      <c r="AL622" s="1" t="s">
        <v>50</v>
      </c>
    </row>
    <row r="623" spans="1:37" ht="12.75" customHeight="1">
      <c r="A623" s="43"/>
      <c r="B623" s="13"/>
      <c r="C623" s="13"/>
      <c r="D623" s="31"/>
      <c r="E623" s="14" t="s">
        <v>50</v>
      </c>
      <c r="F623" s="14"/>
      <c r="G623" s="14"/>
      <c r="H623" s="14"/>
      <c r="I623" s="31"/>
      <c r="J623" s="31"/>
      <c r="K623" s="15"/>
      <c r="L623" s="15"/>
      <c r="M623" s="15"/>
      <c r="N623" s="15"/>
      <c r="O623" s="15"/>
      <c r="P623" s="14"/>
      <c r="Q623" s="14"/>
      <c r="R623" s="14"/>
      <c r="S623" s="14"/>
      <c r="T623" s="14"/>
      <c r="U623" s="14"/>
      <c r="V623" s="14"/>
      <c r="W623" s="14"/>
      <c r="X623" s="14"/>
      <c r="Y623" s="13"/>
      <c r="Z623" s="44"/>
      <c r="AA623" s="43"/>
      <c r="AB623" s="13"/>
      <c r="AC623" s="13"/>
      <c r="AD623" s="13"/>
      <c r="AE623" s="13"/>
      <c r="AF623" s="13"/>
      <c r="AG623" s="13"/>
      <c r="AH623" s="13"/>
      <c r="AI623" s="13"/>
      <c r="AJ623" s="13"/>
      <c r="AK623" s="44"/>
    </row>
    <row r="624" spans="1:38" ht="12.75" customHeight="1">
      <c r="A624" s="41">
        <v>192</v>
      </c>
      <c r="B624" s="10">
        <v>1061</v>
      </c>
      <c r="C624" s="10" t="s">
        <v>1851</v>
      </c>
      <c r="D624" s="16">
        <v>298.88</v>
      </c>
      <c r="E624" s="20" t="s">
        <v>1852</v>
      </c>
      <c r="F624" s="20" t="s">
        <v>1853</v>
      </c>
      <c r="G624" s="12">
        <v>1</v>
      </c>
      <c r="H624" s="12">
        <v>1</v>
      </c>
      <c r="I624" s="16">
        <f>ROUND(G624,0)</f>
        <v>1</v>
      </c>
      <c r="J624" s="16">
        <f>ROUND(H624,0)</f>
        <v>1</v>
      </c>
      <c r="K624" s="18" t="str">
        <f>IF(I624=J624,"TAM",(CONCATENATE(G624,"/",H624)))</f>
        <v>TAM</v>
      </c>
      <c r="L624" s="29">
        <f>298.88*1/1</f>
        <v>298.88</v>
      </c>
      <c r="M624" s="30">
        <v>0</v>
      </c>
      <c r="N624" s="16" t="str">
        <f>IF(M624=0,"0",(O624*M624))</f>
        <v>0</v>
      </c>
      <c r="O624" s="16">
        <f>IF(W624=1,L624,((D624*G624/H624)-P624)/(1-V624)-S624-T624)</f>
        <v>298.88</v>
      </c>
      <c r="P624" s="16">
        <v>0</v>
      </c>
      <c r="Q624" s="16">
        <f>IF(U624=0,"0",O624*U624)</f>
        <v>100.05080679082528</v>
      </c>
      <c r="R624" s="17">
        <f>IF(U624=0,(((D624*G624/H624)-P624-S624-T624)/(1-V624)),(((D624*G624/H624)-P624-S624-T624)/(1-V624))-((D624*G624/H624)-P624-S624-T624)*U624/(1-V624))</f>
        <v>198.82919320917472</v>
      </c>
      <c r="S624" s="12">
        <v>0</v>
      </c>
      <c r="T624" s="12">
        <v>0</v>
      </c>
      <c r="U624" s="12">
        <v>0.334752431714485</v>
      </c>
      <c r="V624" s="12">
        <v>0</v>
      </c>
      <c r="W624" s="28">
        <f>IF(V624&gt;U624,1,V624)</f>
        <v>0</v>
      </c>
      <c r="X624" s="12">
        <v>1</v>
      </c>
      <c r="Y624" s="16">
        <v>0</v>
      </c>
      <c r="Z624" s="42" t="str">
        <f>IF(OR(W624=1,W624=0),"0",(Q624-N624))</f>
        <v>0</v>
      </c>
      <c r="AA624" s="53" t="s">
        <v>1854</v>
      </c>
      <c r="AB624" s="16" t="s">
        <v>1856</v>
      </c>
      <c r="AC624" s="16">
        <v>198.83</v>
      </c>
      <c r="AD624" s="16">
        <v>777.64</v>
      </c>
      <c r="AE624" s="16">
        <f>ROUND(AC624*100,0)</f>
        <v>19883</v>
      </c>
      <c r="AF624" s="16">
        <f>ROUND(AD624*100,0)</f>
        <v>77764</v>
      </c>
      <c r="AG624" s="19" t="str">
        <f>IF(AC624=AD624,"TAM",(CONCATENATE(AE624,"/",AF624)))</f>
        <v>19883/77764</v>
      </c>
      <c r="AH624" s="11" t="s">
        <v>50</v>
      </c>
      <c r="AI624" s="21" t="s">
        <v>50</v>
      </c>
      <c r="AJ624" s="21" t="s">
        <v>1855</v>
      </c>
      <c r="AK624" s="54" t="s">
        <v>50</v>
      </c>
      <c r="AL624" s="1" t="s">
        <v>50</v>
      </c>
    </row>
    <row r="625" spans="1:37" ht="12.75" customHeight="1">
      <c r="A625" s="43"/>
      <c r="B625" s="13"/>
      <c r="C625" s="13"/>
      <c r="D625" s="31"/>
      <c r="E625" s="14" t="s">
        <v>50</v>
      </c>
      <c r="F625" s="14"/>
      <c r="G625" s="14"/>
      <c r="H625" s="14"/>
      <c r="I625" s="31"/>
      <c r="J625" s="31"/>
      <c r="K625" s="15"/>
      <c r="L625" s="15"/>
      <c r="M625" s="15"/>
      <c r="N625" s="15"/>
      <c r="O625" s="15"/>
      <c r="P625" s="14"/>
      <c r="Q625" s="14"/>
      <c r="R625" s="14"/>
      <c r="S625" s="14"/>
      <c r="T625" s="14"/>
      <c r="U625" s="14"/>
      <c r="V625" s="14"/>
      <c r="W625" s="14"/>
      <c r="X625" s="14"/>
      <c r="Y625" s="13"/>
      <c r="Z625" s="44"/>
      <c r="AA625" s="43"/>
      <c r="AB625" s="13"/>
      <c r="AC625" s="13"/>
      <c r="AD625" s="13"/>
      <c r="AE625" s="13"/>
      <c r="AF625" s="13"/>
      <c r="AG625" s="13"/>
      <c r="AH625" s="13"/>
      <c r="AI625" s="13"/>
      <c r="AJ625" s="13"/>
      <c r="AK625" s="44"/>
    </row>
    <row r="626" spans="1:38" ht="12.75" customHeight="1">
      <c r="A626" s="41">
        <v>203</v>
      </c>
      <c r="B626" s="10">
        <v>1063</v>
      </c>
      <c r="C626" s="10" t="s">
        <v>1857</v>
      </c>
      <c r="D626" s="16">
        <v>206.01</v>
      </c>
      <c r="E626" s="20" t="s">
        <v>1858</v>
      </c>
      <c r="F626" s="20" t="s">
        <v>1859</v>
      </c>
      <c r="G626" s="12">
        <v>1</v>
      </c>
      <c r="H626" s="12">
        <v>1</v>
      </c>
      <c r="I626" s="16">
        <f>ROUND(G626,0)</f>
        <v>1</v>
      </c>
      <c r="J626" s="16">
        <f>ROUND(H626,0)</f>
        <v>1</v>
      </c>
      <c r="K626" s="18" t="str">
        <f>IF(I626=J626,"TAM",(CONCATENATE(G626,"/",H626)))</f>
        <v>TAM</v>
      </c>
      <c r="L626" s="29">
        <f>206.01*1/1</f>
        <v>206.01</v>
      </c>
      <c r="M626" s="30">
        <v>0</v>
      </c>
      <c r="N626" s="16" t="str">
        <f>IF(M626=0,"0",(O626*M626))</f>
        <v>0</v>
      </c>
      <c r="O626" s="16">
        <f>IF(W626=1,L626,((D626*G626/H626)-P626)/(1-V626)-S626-T626)</f>
        <v>206.01</v>
      </c>
      <c r="P626" s="16">
        <v>0</v>
      </c>
      <c r="Q626" s="16">
        <f>IF(U626=0,"0",O626*U626)</f>
        <v>68.96234845750105</v>
      </c>
      <c r="R626" s="17">
        <f>IF(U626=0,(((D626*G626/H626)-P626-S626-T626)/(1-V626)),(((D626*G626/H626)-P626-S626-T626)/(1-V626))-((D626*G626/H626)-P626-S626-T626)*U626/(1-V626))</f>
        <v>137.04765154249895</v>
      </c>
      <c r="S626" s="12">
        <v>0</v>
      </c>
      <c r="T626" s="12">
        <v>0</v>
      </c>
      <c r="U626" s="12">
        <v>0.334752431714485</v>
      </c>
      <c r="V626" s="12">
        <v>0</v>
      </c>
      <c r="W626" s="28">
        <f>IF(V626&gt;U626,1,V626)</f>
        <v>0</v>
      </c>
      <c r="X626" s="12">
        <v>1</v>
      </c>
      <c r="Y626" s="16">
        <v>0</v>
      </c>
      <c r="Z626" s="42" t="str">
        <f>IF(OR(W626=1,W626=0),"0",(Q626-N626))</f>
        <v>0</v>
      </c>
      <c r="AA626" s="53" t="s">
        <v>1860</v>
      </c>
      <c r="AB626" s="16" t="s">
        <v>1862</v>
      </c>
      <c r="AC626" s="16">
        <v>137.05</v>
      </c>
      <c r="AD626" s="16">
        <v>777.64</v>
      </c>
      <c r="AE626" s="16">
        <f>ROUND(AC626*100,0)</f>
        <v>13705</v>
      </c>
      <c r="AF626" s="16">
        <f>ROUND(AD626*100,0)</f>
        <v>77764</v>
      </c>
      <c r="AG626" s="19" t="str">
        <f>IF(AC626=AD626,"TAM",(CONCATENATE(AE626,"/",AF626)))</f>
        <v>13705/77764</v>
      </c>
      <c r="AH626" s="11" t="s">
        <v>50</v>
      </c>
      <c r="AI626" s="21" t="s">
        <v>50</v>
      </c>
      <c r="AJ626" s="21" t="s">
        <v>1861</v>
      </c>
      <c r="AK626" s="54" t="s">
        <v>50</v>
      </c>
      <c r="AL626" s="1" t="s">
        <v>50</v>
      </c>
    </row>
    <row r="627" spans="1:37" ht="12.75" customHeight="1">
      <c r="A627" s="43"/>
      <c r="B627" s="13"/>
      <c r="C627" s="13"/>
      <c r="D627" s="31"/>
      <c r="E627" s="14" t="s">
        <v>50</v>
      </c>
      <c r="F627" s="14"/>
      <c r="G627" s="14"/>
      <c r="H627" s="14"/>
      <c r="I627" s="31"/>
      <c r="J627" s="31"/>
      <c r="K627" s="15"/>
      <c r="L627" s="15"/>
      <c r="M627" s="15"/>
      <c r="N627" s="15"/>
      <c r="O627" s="15"/>
      <c r="P627" s="14"/>
      <c r="Q627" s="14"/>
      <c r="R627" s="14"/>
      <c r="S627" s="14"/>
      <c r="T627" s="14"/>
      <c r="U627" s="14"/>
      <c r="V627" s="14"/>
      <c r="W627" s="14"/>
      <c r="X627" s="14"/>
      <c r="Y627" s="13"/>
      <c r="Z627" s="44"/>
      <c r="AA627" s="43"/>
      <c r="AB627" s="13"/>
      <c r="AC627" s="13"/>
      <c r="AD627" s="13"/>
      <c r="AE627" s="13"/>
      <c r="AF627" s="13"/>
      <c r="AG627" s="13"/>
      <c r="AH627" s="13"/>
      <c r="AI627" s="13"/>
      <c r="AJ627" s="13"/>
      <c r="AK627" s="44"/>
    </row>
    <row r="628" spans="1:38" ht="12.75" customHeight="1">
      <c r="A628" s="41">
        <v>258</v>
      </c>
      <c r="B628" s="10">
        <v>1076</v>
      </c>
      <c r="C628" s="10" t="s">
        <v>1863</v>
      </c>
      <c r="D628" s="16">
        <v>554.24</v>
      </c>
      <c r="E628" s="20" t="s">
        <v>1864</v>
      </c>
      <c r="F628" s="20" t="s">
        <v>1865</v>
      </c>
      <c r="G628" s="12">
        <v>1</v>
      </c>
      <c r="H628" s="12">
        <v>8</v>
      </c>
      <c r="I628" s="16">
        <f>ROUND(G628,0)</f>
        <v>1</v>
      </c>
      <c r="J628" s="16">
        <f>ROUND(H628,0)</f>
        <v>8</v>
      </c>
      <c r="K628" s="18" t="str">
        <f>IF(I628=J628,"TAM",(CONCATENATE(G628,"/",H628)))</f>
        <v>1/8</v>
      </c>
      <c r="L628" s="29">
        <f>554.24*1/8</f>
        <v>69.28</v>
      </c>
      <c r="M628" s="30">
        <v>0</v>
      </c>
      <c r="N628" s="16" t="str">
        <f>IF(M628=0,"0",(O628*M628))</f>
        <v>0</v>
      </c>
      <c r="O628" s="16">
        <f>IF(W628=1,L628,((D628*G628/H628)-P628)/(1-V628)-S628-T628)</f>
        <v>69.28</v>
      </c>
      <c r="P628" s="16">
        <v>0</v>
      </c>
      <c r="Q628" s="16">
        <f>IF(U628=0,"0",O628*U628)</f>
        <v>23.19164846917952</v>
      </c>
      <c r="R628" s="17">
        <f>IF(U628=0,(((D628*G628/H628)-P628-S628-T628)/(1-V628)),(((D628*G628/H628)-P628-S628-T628)/(1-V628))-((D628*G628/H628)-P628-S628-T628)*U628/(1-V628))</f>
        <v>46.08835153082048</v>
      </c>
      <c r="S628" s="12">
        <v>0</v>
      </c>
      <c r="T628" s="12">
        <v>0</v>
      </c>
      <c r="U628" s="12">
        <v>0.334752431714485</v>
      </c>
      <c r="V628" s="12">
        <v>0</v>
      </c>
      <c r="W628" s="28">
        <f>IF(V628&gt;U628,1,V628)</f>
        <v>0</v>
      </c>
      <c r="X628" s="12">
        <v>1</v>
      </c>
      <c r="Y628" s="16">
        <v>0</v>
      </c>
      <c r="Z628" s="42" t="str">
        <f>IF(OR(W628=1,W628=0),"0",(Q628-N628))</f>
        <v>0</v>
      </c>
      <c r="AA628" s="53" t="s">
        <v>1867</v>
      </c>
      <c r="AB628" s="16" t="s">
        <v>1869</v>
      </c>
      <c r="AC628" s="16">
        <v>46.08</v>
      </c>
      <c r="AD628" s="16">
        <v>777.64</v>
      </c>
      <c r="AE628" s="16">
        <f>ROUND(AC628*100,0)</f>
        <v>4608</v>
      </c>
      <c r="AF628" s="16">
        <f>ROUND(AD628*100,0)</f>
        <v>77764</v>
      </c>
      <c r="AG628" s="19" t="str">
        <f>IF(AC628=AD628,"TAM",(CONCATENATE(AE628,"/",AF628)))</f>
        <v>4608/77764</v>
      </c>
      <c r="AH628" s="11" t="s">
        <v>50</v>
      </c>
      <c r="AI628" s="21" t="s">
        <v>50</v>
      </c>
      <c r="AJ628" s="21" t="s">
        <v>1868</v>
      </c>
      <c r="AK628" s="54" t="s">
        <v>50</v>
      </c>
      <c r="AL628" s="1" t="s">
        <v>50</v>
      </c>
    </row>
    <row r="629" spans="1:37" ht="21" customHeight="1">
      <c r="A629" s="43"/>
      <c r="B629" s="13"/>
      <c r="C629" s="13"/>
      <c r="D629" s="31"/>
      <c r="E629" s="34" t="s">
        <v>1866</v>
      </c>
      <c r="F629" s="14"/>
      <c r="G629" s="14"/>
      <c r="H629" s="14"/>
      <c r="I629" s="31"/>
      <c r="J629" s="31"/>
      <c r="K629" s="15"/>
      <c r="L629" s="15"/>
      <c r="M629" s="15"/>
      <c r="N629" s="15"/>
      <c r="O629" s="15"/>
      <c r="P629" s="14"/>
      <c r="Q629" s="14"/>
      <c r="R629" s="14"/>
      <c r="S629" s="14"/>
      <c r="T629" s="14"/>
      <c r="U629" s="14"/>
      <c r="V629" s="14"/>
      <c r="W629" s="14"/>
      <c r="X629" s="14"/>
      <c r="Y629" s="13"/>
      <c r="Z629" s="44"/>
      <c r="AA629" s="43"/>
      <c r="AB629" s="13"/>
      <c r="AC629" s="13"/>
      <c r="AD629" s="13"/>
      <c r="AE629" s="13"/>
      <c r="AF629" s="13"/>
      <c r="AG629" s="13"/>
      <c r="AH629" s="13"/>
      <c r="AI629" s="13"/>
      <c r="AJ629" s="13"/>
      <c r="AK629" s="44"/>
    </row>
    <row r="630" spans="1:38" ht="12.75" customHeight="1">
      <c r="A630" s="41">
        <v>253</v>
      </c>
      <c r="B630" s="10">
        <v>1076</v>
      </c>
      <c r="C630" s="10" t="s">
        <v>1870</v>
      </c>
      <c r="D630" s="16">
        <v>554.24</v>
      </c>
      <c r="E630" s="20" t="s">
        <v>1871</v>
      </c>
      <c r="F630" s="20" t="s">
        <v>1872</v>
      </c>
      <c r="G630" s="12">
        <v>1</v>
      </c>
      <c r="H630" s="12">
        <v>8</v>
      </c>
      <c r="I630" s="16">
        <f>ROUND(G630,0)</f>
        <v>1</v>
      </c>
      <c r="J630" s="16">
        <f>ROUND(H630,0)</f>
        <v>8</v>
      </c>
      <c r="K630" s="18" t="str">
        <f>IF(I630=J630,"TAM",(CONCATENATE(G630,"/",H630)))</f>
        <v>1/8</v>
      </c>
      <c r="L630" s="29">
        <f>554.24*1/8</f>
        <v>69.28</v>
      </c>
      <c r="M630" s="30">
        <v>0</v>
      </c>
      <c r="N630" s="16" t="str">
        <f>IF(M630=0,"0",(O630*M630))</f>
        <v>0</v>
      </c>
      <c r="O630" s="16">
        <f>IF(W630=1,L630,((D630*G630/H630)-P630)/(1-V630)-S630-T630)</f>
        <v>69.28</v>
      </c>
      <c r="P630" s="16">
        <v>0</v>
      </c>
      <c r="Q630" s="16">
        <f>IF(U630=0,"0",O630*U630)</f>
        <v>23.19164846917952</v>
      </c>
      <c r="R630" s="17">
        <f>IF(U630=0,(((D630*G630/H630)-P630-S630-T630)/(1-V630)),(((D630*G630/H630)-P630-S630-T630)/(1-V630))-((D630*G630/H630)-P630-S630-T630)*U630/(1-V630))</f>
        <v>46.08835153082048</v>
      </c>
      <c r="S630" s="12">
        <v>0</v>
      </c>
      <c r="T630" s="12">
        <v>0</v>
      </c>
      <c r="U630" s="12">
        <v>0.334752431714485</v>
      </c>
      <c r="V630" s="12">
        <v>0</v>
      </c>
      <c r="W630" s="28">
        <f>IF(V630&gt;U630,1,V630)</f>
        <v>0</v>
      </c>
      <c r="X630" s="12">
        <v>1</v>
      </c>
      <c r="Y630" s="16">
        <v>0</v>
      </c>
      <c r="Z630" s="42" t="str">
        <f>IF(OR(W630=1,W630=0),"0",(Q630-N630))</f>
        <v>0</v>
      </c>
      <c r="AA630" s="53" t="s">
        <v>1873</v>
      </c>
      <c r="AB630" s="16" t="s">
        <v>1875</v>
      </c>
      <c r="AC630" s="16">
        <v>46.09</v>
      </c>
      <c r="AD630" s="16">
        <v>777.64</v>
      </c>
      <c r="AE630" s="16">
        <f>ROUND(AC630*100,0)</f>
        <v>4609</v>
      </c>
      <c r="AF630" s="16">
        <f>ROUND(AD630*100,0)</f>
        <v>77764</v>
      </c>
      <c r="AG630" s="19" t="str">
        <f>IF(AC630=AD630,"TAM",(CONCATENATE(AE630,"/",AF630)))</f>
        <v>4609/77764</v>
      </c>
      <c r="AH630" s="11" t="s">
        <v>50</v>
      </c>
      <c r="AI630" s="21" t="s">
        <v>50</v>
      </c>
      <c r="AJ630" s="21" t="s">
        <v>1874</v>
      </c>
      <c r="AK630" s="54" t="s">
        <v>50</v>
      </c>
      <c r="AL630" s="1" t="s">
        <v>50</v>
      </c>
    </row>
    <row r="631" spans="1:37" ht="12.75" customHeight="1">
      <c r="A631" s="43"/>
      <c r="B631" s="13"/>
      <c r="C631" s="13"/>
      <c r="D631" s="31"/>
      <c r="E631" s="14" t="s">
        <v>50</v>
      </c>
      <c r="F631" s="14"/>
      <c r="G631" s="14"/>
      <c r="H631" s="14"/>
      <c r="I631" s="31"/>
      <c r="J631" s="31"/>
      <c r="K631" s="15"/>
      <c r="L631" s="15"/>
      <c r="M631" s="15"/>
      <c r="N631" s="15"/>
      <c r="O631" s="15"/>
      <c r="P631" s="14"/>
      <c r="Q631" s="14"/>
      <c r="R631" s="14"/>
      <c r="S631" s="14"/>
      <c r="T631" s="14"/>
      <c r="U631" s="14"/>
      <c r="V631" s="14"/>
      <c r="W631" s="14"/>
      <c r="X631" s="14"/>
      <c r="Y631" s="13"/>
      <c r="Z631" s="44"/>
      <c r="AA631" s="43"/>
      <c r="AB631" s="13"/>
      <c r="AC631" s="13"/>
      <c r="AD631" s="13"/>
      <c r="AE631" s="13"/>
      <c r="AF631" s="13"/>
      <c r="AG631" s="13"/>
      <c r="AH631" s="13"/>
      <c r="AI631" s="13"/>
      <c r="AJ631" s="13"/>
      <c r="AK631" s="44"/>
    </row>
    <row r="632" spans="1:38" ht="12.75" customHeight="1">
      <c r="A632" s="41">
        <v>252</v>
      </c>
      <c r="B632" s="10">
        <v>1076</v>
      </c>
      <c r="C632" s="10" t="s">
        <v>1876</v>
      </c>
      <c r="D632" s="16">
        <v>554.24</v>
      </c>
      <c r="E632" s="20" t="s">
        <v>1877</v>
      </c>
      <c r="F632" s="20" t="s">
        <v>1878</v>
      </c>
      <c r="G632" s="12">
        <v>1</v>
      </c>
      <c r="H632" s="12">
        <v>8</v>
      </c>
      <c r="I632" s="16">
        <f>ROUND(G632,0)</f>
        <v>1</v>
      </c>
      <c r="J632" s="16">
        <f>ROUND(H632,0)</f>
        <v>8</v>
      </c>
      <c r="K632" s="18" t="str">
        <f>IF(I632=J632,"TAM",(CONCATENATE(G632,"/",H632)))</f>
        <v>1/8</v>
      </c>
      <c r="L632" s="29">
        <f>554.24*1/8</f>
        <v>69.28</v>
      </c>
      <c r="M632" s="30">
        <v>0</v>
      </c>
      <c r="N632" s="16" t="str">
        <f>IF(M632=0,"0",(O632*M632))</f>
        <v>0</v>
      </c>
      <c r="O632" s="16">
        <f>IF(W632=1,L632,((D632*G632/H632)-P632)/(1-V632)-S632-T632)</f>
        <v>69.28</v>
      </c>
      <c r="P632" s="16">
        <v>0</v>
      </c>
      <c r="Q632" s="16">
        <f>IF(U632=0,"0",O632*U632)</f>
        <v>23.19164846917952</v>
      </c>
      <c r="R632" s="17">
        <f>IF(U632=0,(((D632*G632/H632)-P632-S632-T632)/(1-V632)),(((D632*G632/H632)-P632-S632-T632)/(1-V632))-((D632*G632/H632)-P632-S632-T632)*U632/(1-V632))</f>
        <v>46.08835153082048</v>
      </c>
      <c r="S632" s="12">
        <v>0</v>
      </c>
      <c r="T632" s="12">
        <v>0</v>
      </c>
      <c r="U632" s="12">
        <v>0.334752431714485</v>
      </c>
      <c r="V632" s="12">
        <v>0</v>
      </c>
      <c r="W632" s="28">
        <f>IF(V632&gt;U632,1,V632)</f>
        <v>0</v>
      </c>
      <c r="X632" s="12">
        <v>1</v>
      </c>
      <c r="Y632" s="16">
        <v>0</v>
      </c>
      <c r="Z632" s="42" t="str">
        <f>IF(OR(W632=1,W632=0),"0",(Q632-N632))</f>
        <v>0</v>
      </c>
      <c r="AA632" s="53" t="s">
        <v>1879</v>
      </c>
      <c r="AB632" s="16" t="s">
        <v>1881</v>
      </c>
      <c r="AC632" s="16">
        <v>46.09</v>
      </c>
      <c r="AD632" s="16">
        <v>777.64</v>
      </c>
      <c r="AE632" s="16">
        <f>ROUND(AC632*100,0)</f>
        <v>4609</v>
      </c>
      <c r="AF632" s="16">
        <f>ROUND(AD632*100,0)</f>
        <v>77764</v>
      </c>
      <c r="AG632" s="19" t="str">
        <f>IF(AC632=AD632,"TAM",(CONCATENATE(AE632,"/",AF632)))</f>
        <v>4609/77764</v>
      </c>
      <c r="AH632" s="11" t="s">
        <v>50</v>
      </c>
      <c r="AI632" s="21" t="s">
        <v>50</v>
      </c>
      <c r="AJ632" s="21" t="s">
        <v>1880</v>
      </c>
      <c r="AK632" s="54" t="s">
        <v>50</v>
      </c>
      <c r="AL632" s="1" t="s">
        <v>50</v>
      </c>
    </row>
    <row r="633" spans="1:37" ht="12.75" customHeight="1">
      <c r="A633" s="43"/>
      <c r="B633" s="13"/>
      <c r="C633" s="13"/>
      <c r="D633" s="31"/>
      <c r="E633" s="14" t="s">
        <v>50</v>
      </c>
      <c r="F633" s="14"/>
      <c r="G633" s="14"/>
      <c r="H633" s="14"/>
      <c r="I633" s="31"/>
      <c r="J633" s="31"/>
      <c r="K633" s="15"/>
      <c r="L633" s="15"/>
      <c r="M633" s="15"/>
      <c r="N633" s="15"/>
      <c r="O633" s="15"/>
      <c r="P633" s="14"/>
      <c r="Q633" s="14"/>
      <c r="R633" s="14"/>
      <c r="S633" s="14"/>
      <c r="T633" s="14"/>
      <c r="U633" s="14"/>
      <c r="V633" s="14"/>
      <c r="W633" s="14"/>
      <c r="X633" s="14"/>
      <c r="Y633" s="13"/>
      <c r="Z633" s="44"/>
      <c r="AA633" s="43"/>
      <c r="AB633" s="13"/>
      <c r="AC633" s="13"/>
      <c r="AD633" s="13"/>
      <c r="AE633" s="13"/>
      <c r="AF633" s="13"/>
      <c r="AG633" s="13"/>
      <c r="AH633" s="13"/>
      <c r="AI633" s="13"/>
      <c r="AJ633" s="13"/>
      <c r="AK633" s="44"/>
    </row>
    <row r="634" spans="1:38" ht="12.75" customHeight="1">
      <c r="A634" s="41">
        <v>251</v>
      </c>
      <c r="B634" s="10">
        <v>1076</v>
      </c>
      <c r="C634" s="10" t="s">
        <v>1882</v>
      </c>
      <c r="D634" s="16">
        <v>554.24</v>
      </c>
      <c r="E634" s="20" t="s">
        <v>1883</v>
      </c>
      <c r="F634" s="20" t="s">
        <v>1884</v>
      </c>
      <c r="G634" s="12">
        <v>1</v>
      </c>
      <c r="H634" s="12">
        <v>8</v>
      </c>
      <c r="I634" s="16">
        <f>ROUND(G634,0)</f>
        <v>1</v>
      </c>
      <c r="J634" s="16">
        <f>ROUND(H634,0)</f>
        <v>8</v>
      </c>
      <c r="K634" s="18" t="str">
        <f>IF(I634=J634,"TAM",(CONCATENATE(G634,"/",H634)))</f>
        <v>1/8</v>
      </c>
      <c r="L634" s="29">
        <f>554.24*1/8</f>
        <v>69.28</v>
      </c>
      <c r="M634" s="30">
        <v>0</v>
      </c>
      <c r="N634" s="16" t="str">
        <f>IF(M634=0,"0",(O634*M634))</f>
        <v>0</v>
      </c>
      <c r="O634" s="16">
        <f>IF(W634=1,L634,((D634*G634/H634)-P634)/(1-V634)-S634-T634)</f>
        <v>69.28</v>
      </c>
      <c r="P634" s="16">
        <v>0</v>
      </c>
      <c r="Q634" s="16">
        <f>IF(U634=0,"0",O634*U634)</f>
        <v>23.19164846917952</v>
      </c>
      <c r="R634" s="17">
        <f>IF(U634=0,(((D634*G634/H634)-P634-S634-T634)/(1-V634)),(((D634*G634/H634)-P634-S634-T634)/(1-V634))-((D634*G634/H634)-P634-S634-T634)*U634/(1-V634))</f>
        <v>46.08835153082048</v>
      </c>
      <c r="S634" s="12">
        <v>0</v>
      </c>
      <c r="T634" s="12">
        <v>0</v>
      </c>
      <c r="U634" s="12">
        <v>0.334752431714485</v>
      </c>
      <c r="V634" s="12">
        <v>0</v>
      </c>
      <c r="W634" s="28">
        <f>IF(V634&gt;U634,1,V634)</f>
        <v>0</v>
      </c>
      <c r="X634" s="12">
        <v>1</v>
      </c>
      <c r="Y634" s="16">
        <v>0</v>
      </c>
      <c r="Z634" s="42" t="str">
        <f>IF(OR(W634=1,W634=0),"0",(Q634-N634))</f>
        <v>0</v>
      </c>
      <c r="AA634" s="53" t="s">
        <v>1885</v>
      </c>
      <c r="AB634" s="16" t="s">
        <v>1887</v>
      </c>
      <c r="AC634" s="16">
        <v>46.09</v>
      </c>
      <c r="AD634" s="16">
        <v>777.64</v>
      </c>
      <c r="AE634" s="16">
        <f>ROUND(AC634*100,0)</f>
        <v>4609</v>
      </c>
      <c r="AF634" s="16">
        <f>ROUND(AD634*100,0)</f>
        <v>77764</v>
      </c>
      <c r="AG634" s="19" t="str">
        <f>IF(AC634=AD634,"TAM",(CONCATENATE(AE634,"/",AF634)))</f>
        <v>4609/77764</v>
      </c>
      <c r="AH634" s="11" t="s">
        <v>50</v>
      </c>
      <c r="AI634" s="21" t="s">
        <v>50</v>
      </c>
      <c r="AJ634" s="21" t="s">
        <v>1886</v>
      </c>
      <c r="AK634" s="54" t="s">
        <v>50</v>
      </c>
      <c r="AL634" s="1" t="s">
        <v>50</v>
      </c>
    </row>
    <row r="635" spans="1:37" ht="12.75" customHeight="1">
      <c r="A635" s="43"/>
      <c r="B635" s="13"/>
      <c r="C635" s="13"/>
      <c r="D635" s="31"/>
      <c r="E635" s="14" t="s">
        <v>50</v>
      </c>
      <c r="F635" s="14"/>
      <c r="G635" s="14"/>
      <c r="H635" s="14"/>
      <c r="I635" s="31"/>
      <c r="J635" s="31"/>
      <c r="K635" s="15"/>
      <c r="L635" s="15"/>
      <c r="M635" s="15"/>
      <c r="N635" s="15"/>
      <c r="O635" s="15"/>
      <c r="P635" s="14"/>
      <c r="Q635" s="14"/>
      <c r="R635" s="14"/>
      <c r="S635" s="14"/>
      <c r="T635" s="14"/>
      <c r="U635" s="14"/>
      <c r="V635" s="14"/>
      <c r="W635" s="14"/>
      <c r="X635" s="14"/>
      <c r="Y635" s="13"/>
      <c r="Z635" s="44"/>
      <c r="AA635" s="43"/>
      <c r="AB635" s="13"/>
      <c r="AC635" s="13"/>
      <c r="AD635" s="13"/>
      <c r="AE635" s="13"/>
      <c r="AF635" s="13"/>
      <c r="AG635" s="13"/>
      <c r="AH635" s="13"/>
      <c r="AI635" s="13"/>
      <c r="AJ635" s="13"/>
      <c r="AK635" s="44"/>
    </row>
    <row r="636" spans="1:38" ht="12.75" customHeight="1">
      <c r="A636" s="41">
        <v>254</v>
      </c>
      <c r="B636" s="10">
        <v>1076</v>
      </c>
      <c r="C636" s="10" t="s">
        <v>1888</v>
      </c>
      <c r="D636" s="16">
        <v>554.24</v>
      </c>
      <c r="E636" s="20" t="s">
        <v>1889</v>
      </c>
      <c r="F636" s="20" t="s">
        <v>1890</v>
      </c>
      <c r="G636" s="12">
        <v>1</v>
      </c>
      <c r="H636" s="12">
        <v>2</v>
      </c>
      <c r="I636" s="16">
        <f>ROUND(G636,0)</f>
        <v>1</v>
      </c>
      <c r="J636" s="16">
        <f>ROUND(H636,0)</f>
        <v>2</v>
      </c>
      <c r="K636" s="18" t="str">
        <f>IF(I636=J636,"TAM",(CONCATENATE(G636,"/",H636)))</f>
        <v>1/2</v>
      </c>
      <c r="L636" s="29">
        <f>554.24*1/2</f>
        <v>277.12</v>
      </c>
      <c r="M636" s="30">
        <v>0</v>
      </c>
      <c r="N636" s="16" t="str">
        <f>IF(M636=0,"0",(O636*M636))</f>
        <v>0</v>
      </c>
      <c r="O636" s="16">
        <f>IF(W636=1,L636,((D636*G636/H636)-P636)/(1-V636)-S636-T636)</f>
        <v>277.12</v>
      </c>
      <c r="P636" s="16">
        <v>0</v>
      </c>
      <c r="Q636" s="16">
        <f>IF(U636=0,"0",O636*U636)</f>
        <v>92.76659387671808</v>
      </c>
      <c r="R636" s="17">
        <f>IF(U636=0,(((D636*G636/H636)-P636-S636-T636)/(1-V636)),(((D636*G636/H636)-P636-S636-T636)/(1-V636))-((D636*G636/H636)-P636-S636-T636)*U636/(1-V636))</f>
        <v>184.35340612328193</v>
      </c>
      <c r="S636" s="12">
        <v>0</v>
      </c>
      <c r="T636" s="12">
        <v>0</v>
      </c>
      <c r="U636" s="12">
        <v>0.334752431714485</v>
      </c>
      <c r="V636" s="12">
        <v>0</v>
      </c>
      <c r="W636" s="28">
        <f>IF(V636&gt;U636,1,V636)</f>
        <v>0</v>
      </c>
      <c r="X636" s="12">
        <v>1</v>
      </c>
      <c r="Y636" s="16">
        <v>0</v>
      </c>
      <c r="Z636" s="42" t="str">
        <f>IF(OR(W636=1,W636=0),"0",(Q636-N636))</f>
        <v>0</v>
      </c>
      <c r="AA636" s="53" t="s">
        <v>1892</v>
      </c>
      <c r="AB636" s="16" t="s">
        <v>1894</v>
      </c>
      <c r="AC636" s="16">
        <v>184.36</v>
      </c>
      <c r="AD636" s="16">
        <v>777.64</v>
      </c>
      <c r="AE636" s="16">
        <f>ROUND(AC636*100,0)</f>
        <v>18436</v>
      </c>
      <c r="AF636" s="16">
        <f>ROUND(AD636*100,0)</f>
        <v>77764</v>
      </c>
      <c r="AG636" s="19" t="str">
        <f>IF(AC636=AD636,"TAM",(CONCATENATE(AE636,"/",AF636)))</f>
        <v>18436/77764</v>
      </c>
      <c r="AH636" s="11" t="s">
        <v>50</v>
      </c>
      <c r="AI636" s="21" t="s">
        <v>50</v>
      </c>
      <c r="AJ636" s="21" t="s">
        <v>1893</v>
      </c>
      <c r="AK636" s="54" t="s">
        <v>50</v>
      </c>
      <c r="AL636" s="1" t="s">
        <v>50</v>
      </c>
    </row>
    <row r="637" spans="1:37" ht="30.75" customHeight="1">
      <c r="A637" s="43"/>
      <c r="B637" s="13"/>
      <c r="C637" s="13"/>
      <c r="D637" s="31"/>
      <c r="E637" s="34" t="s">
        <v>1891</v>
      </c>
      <c r="F637" s="14"/>
      <c r="G637" s="14"/>
      <c r="H637" s="14"/>
      <c r="I637" s="31"/>
      <c r="J637" s="31"/>
      <c r="K637" s="15"/>
      <c r="L637" s="15"/>
      <c r="M637" s="15"/>
      <c r="N637" s="15"/>
      <c r="O637" s="15"/>
      <c r="P637" s="14"/>
      <c r="Q637" s="14"/>
      <c r="R637" s="14"/>
      <c r="S637" s="14"/>
      <c r="T637" s="14"/>
      <c r="U637" s="14"/>
      <c r="V637" s="14"/>
      <c r="W637" s="14"/>
      <c r="X637" s="14"/>
      <c r="Y637" s="13"/>
      <c r="Z637" s="44"/>
      <c r="AA637" s="43"/>
      <c r="AB637" s="13"/>
      <c r="AC637" s="13"/>
      <c r="AD637" s="13"/>
      <c r="AE637" s="13"/>
      <c r="AF637" s="13"/>
      <c r="AG637" s="13"/>
      <c r="AH637" s="13"/>
      <c r="AI637" s="13"/>
      <c r="AJ637" s="13"/>
      <c r="AK637" s="44"/>
    </row>
    <row r="638" spans="1:38" ht="12.75" customHeight="1">
      <c r="A638" s="41">
        <v>454</v>
      </c>
      <c r="B638" s="10">
        <v>1137</v>
      </c>
      <c r="C638" s="10" t="s">
        <v>1895</v>
      </c>
      <c r="D638" s="16">
        <v>1635.97</v>
      </c>
      <c r="E638" s="20" t="s">
        <v>1896</v>
      </c>
      <c r="F638" s="20" t="s">
        <v>1897</v>
      </c>
      <c r="G638" s="12">
        <v>1</v>
      </c>
      <c r="H638" s="12">
        <v>3</v>
      </c>
      <c r="I638" s="16">
        <f>ROUND(G638,0)</f>
        <v>1</v>
      </c>
      <c r="J638" s="16">
        <f>ROUND(H638,0)</f>
        <v>3</v>
      </c>
      <c r="K638" s="18" t="str">
        <f>IF(I638=J638,"TAM",(CONCATENATE(G638,"/",H638)))</f>
        <v>1/3</v>
      </c>
      <c r="L638" s="29">
        <f>1635.97*1/3</f>
        <v>545.3233333333333</v>
      </c>
      <c r="M638" s="30">
        <v>0</v>
      </c>
      <c r="N638" s="16" t="str">
        <f>IF(M638=0,"0",(O638*M638))</f>
        <v>0</v>
      </c>
      <c r="O638" s="16">
        <f>IF(W638=1,L638,((D638*G638/H638)-P638)/(1-V638)-S638-T638)</f>
        <v>545.3233333333334</v>
      </c>
      <c r="P638" s="16">
        <v>0</v>
      </c>
      <c r="Q638" s="16">
        <f>IF(U638=0,"0",O638*U638)</f>
        <v>182.548311903982</v>
      </c>
      <c r="R638" s="17">
        <f>IF(U638=0,(((D638*G638/H638)-P638-S638-T638)/(1-V638)),(((D638*G638/H638)-P638-S638-T638)/(1-V638))-((D638*G638/H638)-P638-S638-T638)*U638/(1-V638))</f>
        <v>362.77502142935134</v>
      </c>
      <c r="S638" s="12">
        <v>0</v>
      </c>
      <c r="T638" s="12">
        <v>0</v>
      </c>
      <c r="U638" s="12">
        <v>0.334752431714485</v>
      </c>
      <c r="V638" s="12">
        <v>0</v>
      </c>
      <c r="W638" s="28">
        <f>IF(V638&gt;U638,1,V638)</f>
        <v>0</v>
      </c>
      <c r="X638" s="12">
        <v>1</v>
      </c>
      <c r="Y638" s="16">
        <v>0</v>
      </c>
      <c r="Z638" s="42" t="str">
        <f>IF(OR(W638=1,W638=0),"0",(Q638-N638))</f>
        <v>0</v>
      </c>
      <c r="AA638" s="53" t="s">
        <v>1898</v>
      </c>
      <c r="AB638" s="16" t="s">
        <v>1900</v>
      </c>
      <c r="AC638" s="16">
        <v>6.77</v>
      </c>
      <c r="AD638" s="16">
        <v>777.64</v>
      </c>
      <c r="AE638" s="16">
        <f>ROUND(AC638*100,0)</f>
        <v>677</v>
      </c>
      <c r="AF638" s="16">
        <f>ROUND(AD638*100,0)</f>
        <v>77764</v>
      </c>
      <c r="AG638" s="19" t="str">
        <f>IF(AC638=AD638,"TAM",(CONCATENATE(AE638,"/",AF638)))</f>
        <v>677/77764</v>
      </c>
      <c r="AH638" s="11" t="s">
        <v>50</v>
      </c>
      <c r="AI638" s="21" t="s">
        <v>50</v>
      </c>
      <c r="AJ638" s="21" t="s">
        <v>1899</v>
      </c>
      <c r="AK638" s="54" t="s">
        <v>50</v>
      </c>
      <c r="AL638" s="1" t="s">
        <v>50</v>
      </c>
    </row>
    <row r="639" spans="1:37" ht="12.75" customHeight="1">
      <c r="A639" s="43"/>
      <c r="B639" s="13"/>
      <c r="C639" s="13"/>
      <c r="D639" s="31"/>
      <c r="E639" s="14" t="s">
        <v>50</v>
      </c>
      <c r="F639" s="14"/>
      <c r="G639" s="14"/>
      <c r="H639" s="14"/>
      <c r="I639" s="31"/>
      <c r="J639" s="31"/>
      <c r="K639" s="15"/>
      <c r="L639" s="15"/>
      <c r="M639" s="15"/>
      <c r="N639" s="15"/>
      <c r="O639" s="15"/>
      <c r="P639" s="14"/>
      <c r="Q639" s="14"/>
      <c r="R639" s="14"/>
      <c r="S639" s="14"/>
      <c r="T639" s="14"/>
      <c r="U639" s="14"/>
      <c r="V639" s="14"/>
      <c r="W639" s="14"/>
      <c r="X639" s="14"/>
      <c r="Y639" s="13"/>
      <c r="Z639" s="44"/>
      <c r="AA639" s="43"/>
      <c r="AB639" s="13"/>
      <c r="AC639" s="13"/>
      <c r="AD639" s="13"/>
      <c r="AE639" s="13"/>
      <c r="AF639" s="13"/>
      <c r="AG639" s="13"/>
      <c r="AH639" s="13"/>
      <c r="AI639" s="13"/>
      <c r="AJ639" s="13"/>
      <c r="AK639" s="44"/>
    </row>
    <row r="640" spans="1:38" ht="12.75" customHeight="1">
      <c r="A640" s="41">
        <v>452</v>
      </c>
      <c r="B640" s="10">
        <v>1137</v>
      </c>
      <c r="C640" s="10" t="s">
        <v>1901</v>
      </c>
      <c r="D640" s="16">
        <v>1635.97</v>
      </c>
      <c r="E640" s="20" t="s">
        <v>1902</v>
      </c>
      <c r="F640" s="20" t="s">
        <v>1903</v>
      </c>
      <c r="G640" s="12">
        <v>1</v>
      </c>
      <c r="H640" s="12">
        <v>3</v>
      </c>
      <c r="I640" s="16">
        <f>ROUND(G640,0)</f>
        <v>1</v>
      </c>
      <c r="J640" s="16">
        <f>ROUND(H640,0)</f>
        <v>3</v>
      </c>
      <c r="K640" s="18" t="str">
        <f>IF(I640=J640,"TAM",(CONCATENATE(G640,"/",H640)))</f>
        <v>1/3</v>
      </c>
      <c r="L640" s="29">
        <f>1635.97*1/3</f>
        <v>545.3233333333333</v>
      </c>
      <c r="M640" s="30">
        <v>0</v>
      </c>
      <c r="N640" s="16" t="str">
        <f>IF(M640=0,"0",(O640*M640))</f>
        <v>0</v>
      </c>
      <c r="O640" s="16">
        <f>IF(W640=1,L640,((D640*G640/H640)-P640)/(1-V640)-S640-T640)</f>
        <v>545.3233333333334</v>
      </c>
      <c r="P640" s="16">
        <v>0</v>
      </c>
      <c r="Q640" s="16">
        <f>IF(U640=0,"0",O640*U640)</f>
        <v>182.548311903982</v>
      </c>
      <c r="R640" s="17">
        <f>IF(U640=0,(((D640*G640/H640)-P640-S640-T640)/(1-V640)),(((D640*G640/H640)-P640-S640-T640)/(1-V640))-((D640*G640/H640)-P640-S640-T640)*U640/(1-V640))</f>
        <v>362.77502142935134</v>
      </c>
      <c r="S640" s="12">
        <v>0</v>
      </c>
      <c r="T640" s="12">
        <v>0</v>
      </c>
      <c r="U640" s="12">
        <v>0.334752431714485</v>
      </c>
      <c r="V640" s="12">
        <v>0</v>
      </c>
      <c r="W640" s="28">
        <f>IF(V640&gt;U640,1,V640)</f>
        <v>0</v>
      </c>
      <c r="X640" s="12">
        <v>1</v>
      </c>
      <c r="Y640" s="16">
        <v>0</v>
      </c>
      <c r="Z640" s="42" t="str">
        <f>IF(OR(W640=1,W640=0),"0",(Q640-N640))</f>
        <v>0</v>
      </c>
      <c r="AA640" s="53" t="s">
        <v>1904</v>
      </c>
      <c r="AB640" s="16" t="s">
        <v>1906</v>
      </c>
      <c r="AC640" s="16">
        <v>6.77</v>
      </c>
      <c r="AD640" s="16">
        <v>777.64</v>
      </c>
      <c r="AE640" s="16">
        <f>ROUND(AC640*100,0)</f>
        <v>677</v>
      </c>
      <c r="AF640" s="16">
        <f>ROUND(AD640*100,0)</f>
        <v>77764</v>
      </c>
      <c r="AG640" s="19" t="str">
        <f>IF(AC640=AD640,"TAM",(CONCATENATE(AE640,"/",AF640)))</f>
        <v>677/77764</v>
      </c>
      <c r="AH640" s="11" t="s">
        <v>50</v>
      </c>
      <c r="AI640" s="21" t="s">
        <v>50</v>
      </c>
      <c r="AJ640" s="21" t="s">
        <v>1905</v>
      </c>
      <c r="AK640" s="54" t="s">
        <v>50</v>
      </c>
      <c r="AL640" s="1" t="s">
        <v>50</v>
      </c>
    </row>
    <row r="641" spans="1:37" ht="12.75" customHeight="1">
      <c r="A641" s="43"/>
      <c r="B641" s="13"/>
      <c r="C641" s="13"/>
      <c r="D641" s="31"/>
      <c r="E641" s="14" t="s">
        <v>50</v>
      </c>
      <c r="F641" s="14"/>
      <c r="G641" s="14"/>
      <c r="H641" s="14"/>
      <c r="I641" s="31"/>
      <c r="J641" s="31"/>
      <c r="K641" s="15"/>
      <c r="L641" s="15"/>
      <c r="M641" s="15"/>
      <c r="N641" s="15"/>
      <c r="O641" s="15"/>
      <c r="P641" s="14"/>
      <c r="Q641" s="14"/>
      <c r="R641" s="14"/>
      <c r="S641" s="14"/>
      <c r="T641" s="14"/>
      <c r="U641" s="14"/>
      <c r="V641" s="14"/>
      <c r="W641" s="14"/>
      <c r="X641" s="14"/>
      <c r="Y641" s="13"/>
      <c r="Z641" s="44"/>
      <c r="AA641" s="43"/>
      <c r="AB641" s="13"/>
      <c r="AC641" s="13"/>
      <c r="AD641" s="13"/>
      <c r="AE641" s="13"/>
      <c r="AF641" s="13"/>
      <c r="AG641" s="13"/>
      <c r="AH641" s="13"/>
      <c r="AI641" s="13"/>
      <c r="AJ641" s="13"/>
      <c r="AK641" s="44"/>
    </row>
    <row r="642" spans="1:38" ht="12.75" customHeight="1">
      <c r="A642" s="41">
        <v>453</v>
      </c>
      <c r="B642" s="10">
        <v>1137</v>
      </c>
      <c r="C642" s="10" t="s">
        <v>1907</v>
      </c>
      <c r="D642" s="16">
        <v>1635.97</v>
      </c>
      <c r="E642" s="20" t="s">
        <v>1908</v>
      </c>
      <c r="F642" s="20" t="s">
        <v>1909</v>
      </c>
      <c r="G642" s="12">
        <v>1</v>
      </c>
      <c r="H642" s="12">
        <v>3</v>
      </c>
      <c r="I642" s="16">
        <f>ROUND(G642,0)</f>
        <v>1</v>
      </c>
      <c r="J642" s="16">
        <f>ROUND(H642,0)</f>
        <v>3</v>
      </c>
      <c r="K642" s="18" t="str">
        <f>IF(I642=J642,"TAM",(CONCATENATE(G642,"/",H642)))</f>
        <v>1/3</v>
      </c>
      <c r="L642" s="29">
        <f>1635.97*1/3</f>
        <v>545.3233333333333</v>
      </c>
      <c r="M642" s="30">
        <v>0</v>
      </c>
      <c r="N642" s="16" t="str">
        <f>IF(M642=0,"0",(O642*M642))</f>
        <v>0</v>
      </c>
      <c r="O642" s="16">
        <f>IF(W642=1,L642,((D642*G642/H642)-P642)/(1-V642)-S642-T642)</f>
        <v>545.3233333333334</v>
      </c>
      <c r="P642" s="16">
        <v>0</v>
      </c>
      <c r="Q642" s="16">
        <f>IF(U642=0,"0",O642*U642)</f>
        <v>182.548311903982</v>
      </c>
      <c r="R642" s="17">
        <f>IF(U642=0,(((D642*G642/H642)-P642-S642-T642)/(1-V642)),(((D642*G642/H642)-P642-S642-T642)/(1-V642))-((D642*G642/H642)-P642-S642-T642)*U642/(1-V642))</f>
        <v>362.77502142935134</v>
      </c>
      <c r="S642" s="12">
        <v>0</v>
      </c>
      <c r="T642" s="12">
        <v>0</v>
      </c>
      <c r="U642" s="12">
        <v>0.334752431714485</v>
      </c>
      <c r="V642" s="12">
        <v>0</v>
      </c>
      <c r="W642" s="28">
        <f>IF(V642&gt;U642,1,V642)</f>
        <v>0</v>
      </c>
      <c r="X642" s="12">
        <v>1</v>
      </c>
      <c r="Y642" s="16">
        <v>0</v>
      </c>
      <c r="Z642" s="42" t="str">
        <f>IF(OR(W642=1,W642=0),"0",(Q642-N642))</f>
        <v>0</v>
      </c>
      <c r="AA642" s="53" t="s">
        <v>1910</v>
      </c>
      <c r="AB642" s="16" t="s">
        <v>1912</v>
      </c>
      <c r="AC642" s="16">
        <v>6.76</v>
      </c>
      <c r="AD642" s="16">
        <v>777.64</v>
      </c>
      <c r="AE642" s="16">
        <f>ROUND(AC642*100,0)</f>
        <v>676</v>
      </c>
      <c r="AF642" s="16">
        <f>ROUND(AD642*100,0)</f>
        <v>77764</v>
      </c>
      <c r="AG642" s="19" t="str">
        <f>IF(AC642=AD642,"TAM",(CONCATENATE(AE642,"/",AF642)))</f>
        <v>676/77764</v>
      </c>
      <c r="AH642" s="11" t="s">
        <v>50</v>
      </c>
      <c r="AI642" s="21" t="s">
        <v>50</v>
      </c>
      <c r="AJ642" s="21" t="s">
        <v>1911</v>
      </c>
      <c r="AK642" s="54" t="s">
        <v>50</v>
      </c>
      <c r="AL642" s="1" t="s">
        <v>50</v>
      </c>
    </row>
    <row r="643" spans="1:37" ht="12.75" customHeight="1">
      <c r="A643" s="43"/>
      <c r="B643" s="13"/>
      <c r="C643" s="13"/>
      <c r="D643" s="31"/>
      <c r="E643" s="14" t="s">
        <v>50</v>
      </c>
      <c r="F643" s="14"/>
      <c r="G643" s="14"/>
      <c r="H643" s="14"/>
      <c r="I643" s="31"/>
      <c r="J643" s="31"/>
      <c r="K643" s="15"/>
      <c r="L643" s="15"/>
      <c r="M643" s="15"/>
      <c r="N643" s="15"/>
      <c r="O643" s="15"/>
      <c r="P643" s="14"/>
      <c r="Q643" s="14"/>
      <c r="R643" s="14"/>
      <c r="S643" s="14"/>
      <c r="T643" s="14"/>
      <c r="U643" s="14"/>
      <c r="V643" s="14"/>
      <c r="W643" s="14"/>
      <c r="X643" s="14"/>
      <c r="Y643" s="13"/>
      <c r="Z643" s="44"/>
      <c r="AA643" s="43"/>
      <c r="AB643" s="13"/>
      <c r="AC643" s="13"/>
      <c r="AD643" s="13"/>
      <c r="AE643" s="13"/>
      <c r="AF643" s="13"/>
      <c r="AG643" s="13"/>
      <c r="AH643" s="13"/>
      <c r="AI643" s="13"/>
      <c r="AJ643" s="13"/>
      <c r="AK643" s="44"/>
    </row>
    <row r="644" spans="1:38" ht="12.75" customHeight="1">
      <c r="A644" s="41">
        <v>461</v>
      </c>
      <c r="B644" s="10">
        <v>1141</v>
      </c>
      <c r="C644" s="10" t="s">
        <v>1913</v>
      </c>
      <c r="D644" s="16">
        <v>1230.41</v>
      </c>
      <c r="E644" s="20" t="s">
        <v>1914</v>
      </c>
      <c r="F644" s="20" t="s">
        <v>1915</v>
      </c>
      <c r="G644" s="12">
        <v>1</v>
      </c>
      <c r="H644" s="12">
        <v>1</v>
      </c>
      <c r="I644" s="16">
        <f>ROUND(G644,0)</f>
        <v>1</v>
      </c>
      <c r="J644" s="16">
        <f>ROUND(H644,0)</f>
        <v>1</v>
      </c>
      <c r="K644" s="18" t="str">
        <f>IF(I644=J644,"TAM",(CONCATENATE(G644,"/",H644)))</f>
        <v>TAM</v>
      </c>
      <c r="L644" s="29">
        <f>1230.41*1/1</f>
        <v>1230.41</v>
      </c>
      <c r="M644" s="30">
        <v>0</v>
      </c>
      <c r="N644" s="16" t="str">
        <f>IF(M644=0,"0",(O644*M644))</f>
        <v>0</v>
      </c>
      <c r="O644" s="16">
        <f>IF(W644=1,L644,((D644*G644/H644)-P644)/(1-V644)-S644-T644)</f>
        <v>1230.41</v>
      </c>
      <c r="P644" s="16">
        <v>0</v>
      </c>
      <c r="Q644" s="16">
        <f>IF(U644=0,"0",O644*U644)</f>
        <v>411.88273950581953</v>
      </c>
      <c r="R644" s="17">
        <f>IF(U644=0,(((D644*G644/H644)-P644-S644-T644)/(1-V644)),(((D644*G644/H644)-P644-S644-T644)/(1-V644))-((D644*G644/H644)-P644-S644-T644)*U644/(1-V644))</f>
        <v>818.5272604941806</v>
      </c>
      <c r="S644" s="12">
        <v>0</v>
      </c>
      <c r="T644" s="12">
        <v>0</v>
      </c>
      <c r="U644" s="12">
        <v>0.334752431714485</v>
      </c>
      <c r="V644" s="12">
        <v>0</v>
      </c>
      <c r="W644" s="28">
        <f>IF(V644&gt;U644,1,V644)</f>
        <v>0</v>
      </c>
      <c r="X644" s="12">
        <v>1</v>
      </c>
      <c r="Y644" s="16">
        <v>0</v>
      </c>
      <c r="Z644" s="42" t="str">
        <f>IF(OR(W644=1,W644=0),"0",(Q644-N644))</f>
        <v>0</v>
      </c>
      <c r="AA644" s="53" t="s">
        <v>1916</v>
      </c>
      <c r="AB644" s="16" t="s">
        <v>1918</v>
      </c>
      <c r="AC644" s="16">
        <v>52.75</v>
      </c>
      <c r="AD644" s="16">
        <v>777.64</v>
      </c>
      <c r="AE644" s="16">
        <f>ROUND(AC644*100,0)</f>
        <v>5275</v>
      </c>
      <c r="AF644" s="16">
        <f>ROUND(AD644*100,0)</f>
        <v>77764</v>
      </c>
      <c r="AG644" s="19" t="str">
        <f>IF(AC644=AD644,"TAM",(CONCATENATE(AE644,"/",AF644)))</f>
        <v>5275/77764</v>
      </c>
      <c r="AH644" s="11" t="s">
        <v>50</v>
      </c>
      <c r="AI644" s="21" t="s">
        <v>50</v>
      </c>
      <c r="AJ644" s="21" t="s">
        <v>1917</v>
      </c>
      <c r="AK644" s="54" t="s">
        <v>50</v>
      </c>
      <c r="AL644" s="1" t="s">
        <v>50</v>
      </c>
    </row>
    <row r="645" spans="1:37" ht="12.75" customHeight="1">
      <c r="A645" s="43"/>
      <c r="B645" s="13"/>
      <c r="C645" s="13"/>
      <c r="D645" s="31"/>
      <c r="E645" s="14" t="s">
        <v>50</v>
      </c>
      <c r="F645" s="14"/>
      <c r="G645" s="14"/>
      <c r="H645" s="14"/>
      <c r="I645" s="31"/>
      <c r="J645" s="31"/>
      <c r="K645" s="15"/>
      <c r="L645" s="15"/>
      <c r="M645" s="15"/>
      <c r="N645" s="15"/>
      <c r="O645" s="15"/>
      <c r="P645" s="14"/>
      <c r="Q645" s="14"/>
      <c r="R645" s="14"/>
      <c r="S645" s="14"/>
      <c r="T645" s="14"/>
      <c r="U645" s="14"/>
      <c r="V645" s="14"/>
      <c r="W645" s="14"/>
      <c r="X645" s="14"/>
      <c r="Y645" s="13"/>
      <c r="Z645" s="44"/>
      <c r="AA645" s="43"/>
      <c r="AB645" s="13"/>
      <c r="AC645" s="13"/>
      <c r="AD645" s="13"/>
      <c r="AE645" s="13"/>
      <c r="AF645" s="13"/>
      <c r="AG645" s="13"/>
      <c r="AH645" s="13"/>
      <c r="AI645" s="13"/>
      <c r="AJ645" s="13"/>
      <c r="AK645" s="44"/>
    </row>
    <row r="646" spans="1:38" ht="12.75" customHeight="1">
      <c r="A646" s="41">
        <v>177</v>
      </c>
      <c r="B646" s="10">
        <v>1058</v>
      </c>
      <c r="C646" s="10" t="s">
        <v>1919</v>
      </c>
      <c r="D646" s="16">
        <v>2006.21</v>
      </c>
      <c r="E646" s="20" t="s">
        <v>1920</v>
      </c>
      <c r="F646" s="20" t="s">
        <v>1921</v>
      </c>
      <c r="G646" s="12">
        <v>1</v>
      </c>
      <c r="H646" s="12">
        <v>3</v>
      </c>
      <c r="I646" s="16">
        <f>ROUND(G646,0)</f>
        <v>1</v>
      </c>
      <c r="J646" s="16">
        <f>ROUND(H646,0)</f>
        <v>3</v>
      </c>
      <c r="K646" s="18" t="str">
        <f>IF(I646=J646,"TAM",(CONCATENATE(G646,"/",H646)))</f>
        <v>1/3</v>
      </c>
      <c r="L646" s="29">
        <f>2006.21*1/3</f>
        <v>668.7366666666667</v>
      </c>
      <c r="M646" s="30">
        <v>0</v>
      </c>
      <c r="N646" s="16" t="str">
        <f>IF(M646=0,"0",(O646*M646))</f>
        <v>0</v>
      </c>
      <c r="O646" s="16">
        <f>IF(W646=1,L646,((D646*G646/H646)-P646)/(1-V646)-S646-T646)</f>
        <v>668.7366666666667</v>
      </c>
      <c r="P646" s="16">
        <v>0</v>
      </c>
      <c r="Q646" s="16">
        <f>IF(U646=0,"0",O646*U646)</f>
        <v>223.86122534330565</v>
      </c>
      <c r="R646" s="17">
        <f>IF(U646=0,(((D646*G646/H646)-P646-S646-T646)/(1-V646)),(((D646*G646/H646)-P646-S646-T646)/(1-V646))-((D646*G646/H646)-P646-S646-T646)*U646/(1-V646))</f>
        <v>444.87544132336103</v>
      </c>
      <c r="S646" s="12">
        <v>0</v>
      </c>
      <c r="T646" s="12">
        <v>0</v>
      </c>
      <c r="U646" s="12">
        <v>0.334752431714485</v>
      </c>
      <c r="V646" s="12">
        <v>0</v>
      </c>
      <c r="W646" s="28">
        <f>IF(V646&gt;U646,1,V646)</f>
        <v>0</v>
      </c>
      <c r="X646" s="12">
        <v>1</v>
      </c>
      <c r="Y646" s="16">
        <v>0</v>
      </c>
      <c r="Z646" s="42" t="str">
        <f>IF(OR(W646=1,W646=0),"0",(Q646-N646))</f>
        <v>0</v>
      </c>
      <c r="AA646" s="53" t="s">
        <v>1922</v>
      </c>
      <c r="AB646" s="16" t="s">
        <v>1924</v>
      </c>
      <c r="AC646" s="16">
        <v>311.53</v>
      </c>
      <c r="AD646" s="16">
        <v>934.63</v>
      </c>
      <c r="AE646" s="16">
        <f>ROUND(AC646*100,0)</f>
        <v>31153</v>
      </c>
      <c r="AF646" s="16">
        <f>ROUND(AD646*100,0)</f>
        <v>93463</v>
      </c>
      <c r="AG646" s="19" t="str">
        <f>IF(AC646=AD646,"TAM",(CONCATENATE(AE646,"/",AF646)))</f>
        <v>31153/93463</v>
      </c>
      <c r="AH646" s="11" t="s">
        <v>50</v>
      </c>
      <c r="AI646" s="21" t="s">
        <v>50</v>
      </c>
      <c r="AJ646" s="21" t="s">
        <v>1923</v>
      </c>
      <c r="AK646" s="54" t="s">
        <v>50</v>
      </c>
      <c r="AL646" s="1" t="s">
        <v>50</v>
      </c>
    </row>
    <row r="647" spans="1:37" ht="12.75" customHeight="1">
      <c r="A647" s="43"/>
      <c r="B647" s="13"/>
      <c r="C647" s="13"/>
      <c r="D647" s="31"/>
      <c r="E647" s="14" t="s">
        <v>50</v>
      </c>
      <c r="F647" s="14"/>
      <c r="G647" s="14"/>
      <c r="H647" s="14"/>
      <c r="I647" s="31"/>
      <c r="J647" s="31"/>
      <c r="K647" s="15"/>
      <c r="L647" s="15"/>
      <c r="M647" s="15"/>
      <c r="N647" s="15"/>
      <c r="O647" s="15"/>
      <c r="P647" s="14"/>
      <c r="Q647" s="14"/>
      <c r="R647" s="14"/>
      <c r="S647" s="14"/>
      <c r="T647" s="14"/>
      <c r="U647" s="14"/>
      <c r="V647" s="14"/>
      <c r="W647" s="14"/>
      <c r="X647" s="14"/>
      <c r="Y647" s="13"/>
      <c r="Z647" s="44"/>
      <c r="AA647" s="43"/>
      <c r="AB647" s="13"/>
      <c r="AC647" s="13"/>
      <c r="AD647" s="13"/>
      <c r="AE647" s="13"/>
      <c r="AF647" s="13"/>
      <c r="AG647" s="13"/>
      <c r="AH647" s="13"/>
      <c r="AI647" s="13"/>
      <c r="AJ647" s="13"/>
      <c r="AK647" s="44"/>
    </row>
    <row r="648" spans="1:38" ht="12.75" customHeight="1">
      <c r="A648" s="41">
        <v>175</v>
      </c>
      <c r="B648" s="10">
        <v>1058</v>
      </c>
      <c r="C648" s="10" t="s">
        <v>1925</v>
      </c>
      <c r="D648" s="16">
        <v>2006.21</v>
      </c>
      <c r="E648" s="20" t="s">
        <v>1926</v>
      </c>
      <c r="F648" s="20" t="s">
        <v>1927</v>
      </c>
      <c r="G648" s="12">
        <v>1</v>
      </c>
      <c r="H648" s="12">
        <v>3</v>
      </c>
      <c r="I648" s="16">
        <f>ROUND(G648,0)</f>
        <v>1</v>
      </c>
      <c r="J648" s="16">
        <f>ROUND(H648,0)</f>
        <v>3</v>
      </c>
      <c r="K648" s="18" t="str">
        <f>IF(I648=J648,"TAM",(CONCATENATE(G648,"/",H648)))</f>
        <v>1/3</v>
      </c>
      <c r="L648" s="29">
        <f>2006.21*1/3</f>
        <v>668.7366666666667</v>
      </c>
      <c r="M648" s="30">
        <v>0</v>
      </c>
      <c r="N648" s="16" t="str">
        <f>IF(M648=0,"0",(O648*M648))</f>
        <v>0</v>
      </c>
      <c r="O648" s="16">
        <f>IF(W648=1,L648,((D648*G648/H648)-P648)/(1-V648)-S648-T648)</f>
        <v>668.7366666666667</v>
      </c>
      <c r="P648" s="16">
        <v>0</v>
      </c>
      <c r="Q648" s="16">
        <f>IF(U648=0,"0",O648*U648)</f>
        <v>223.86122534330565</v>
      </c>
      <c r="R648" s="17">
        <f>IF(U648=0,(((D648*G648/H648)-P648-S648-T648)/(1-V648)),(((D648*G648/H648)-P648-S648-T648)/(1-V648))-((D648*G648/H648)-P648-S648-T648)*U648/(1-V648))</f>
        <v>444.87544132336103</v>
      </c>
      <c r="S648" s="12">
        <v>0</v>
      </c>
      <c r="T648" s="12">
        <v>0</v>
      </c>
      <c r="U648" s="12">
        <v>0.334752431714485</v>
      </c>
      <c r="V648" s="12">
        <v>0</v>
      </c>
      <c r="W648" s="28">
        <f>IF(V648&gt;U648,1,V648)</f>
        <v>0</v>
      </c>
      <c r="X648" s="12">
        <v>1</v>
      </c>
      <c r="Y648" s="16">
        <v>0</v>
      </c>
      <c r="Z648" s="42" t="str">
        <f>IF(OR(W648=1,W648=0),"0",(Q648-N648))</f>
        <v>0</v>
      </c>
      <c r="AA648" s="53" t="s">
        <v>1928</v>
      </c>
      <c r="AB648" s="16" t="s">
        <v>1930</v>
      </c>
      <c r="AC648" s="16">
        <v>311.55</v>
      </c>
      <c r="AD648" s="16">
        <v>934.63</v>
      </c>
      <c r="AE648" s="16">
        <f>ROUND(AC648*100,0)</f>
        <v>31155</v>
      </c>
      <c r="AF648" s="16">
        <f>ROUND(AD648*100,0)</f>
        <v>93463</v>
      </c>
      <c r="AG648" s="19" t="str">
        <f>IF(AC648=AD648,"TAM",(CONCATENATE(AE648,"/",AF648)))</f>
        <v>31155/93463</v>
      </c>
      <c r="AH648" s="11" t="s">
        <v>50</v>
      </c>
      <c r="AI648" s="21" t="s">
        <v>50</v>
      </c>
      <c r="AJ648" s="21" t="s">
        <v>1929</v>
      </c>
      <c r="AK648" s="54" t="s">
        <v>50</v>
      </c>
      <c r="AL648" s="1" t="s">
        <v>50</v>
      </c>
    </row>
    <row r="649" spans="1:37" ht="12.75" customHeight="1">
      <c r="A649" s="43"/>
      <c r="B649" s="13"/>
      <c r="C649" s="13"/>
      <c r="D649" s="31"/>
      <c r="E649" s="14" t="s">
        <v>50</v>
      </c>
      <c r="F649" s="14"/>
      <c r="G649" s="14"/>
      <c r="H649" s="14"/>
      <c r="I649" s="31"/>
      <c r="J649" s="31"/>
      <c r="K649" s="15"/>
      <c r="L649" s="15"/>
      <c r="M649" s="15"/>
      <c r="N649" s="15"/>
      <c r="O649" s="15"/>
      <c r="P649" s="14"/>
      <c r="Q649" s="14"/>
      <c r="R649" s="14"/>
      <c r="S649" s="14"/>
      <c r="T649" s="14"/>
      <c r="U649" s="14"/>
      <c r="V649" s="14"/>
      <c r="W649" s="14"/>
      <c r="X649" s="14"/>
      <c r="Y649" s="13"/>
      <c r="Z649" s="44"/>
      <c r="AA649" s="43"/>
      <c r="AB649" s="13"/>
      <c r="AC649" s="13"/>
      <c r="AD649" s="13"/>
      <c r="AE649" s="13"/>
      <c r="AF649" s="13"/>
      <c r="AG649" s="13"/>
      <c r="AH649" s="13"/>
      <c r="AI649" s="13"/>
      <c r="AJ649" s="13"/>
      <c r="AK649" s="44"/>
    </row>
    <row r="650" spans="1:38" ht="12.75" customHeight="1">
      <c r="A650" s="41">
        <v>176</v>
      </c>
      <c r="B650" s="10">
        <v>1058</v>
      </c>
      <c r="C650" s="10" t="s">
        <v>1931</v>
      </c>
      <c r="D650" s="16">
        <v>2006.21</v>
      </c>
      <c r="E650" s="20" t="s">
        <v>1932</v>
      </c>
      <c r="F650" s="20" t="s">
        <v>1933</v>
      </c>
      <c r="G650" s="12">
        <v>1</v>
      </c>
      <c r="H650" s="12">
        <v>3</v>
      </c>
      <c r="I650" s="16">
        <f>ROUND(G650,0)</f>
        <v>1</v>
      </c>
      <c r="J650" s="16">
        <f>ROUND(H650,0)</f>
        <v>3</v>
      </c>
      <c r="K650" s="18" t="str">
        <f>IF(I650=J650,"TAM",(CONCATENATE(G650,"/",H650)))</f>
        <v>1/3</v>
      </c>
      <c r="L650" s="29">
        <f>2006.21*1/3</f>
        <v>668.7366666666667</v>
      </c>
      <c r="M650" s="30">
        <v>0</v>
      </c>
      <c r="N650" s="16" t="str">
        <f>IF(M650=0,"0",(O650*M650))</f>
        <v>0</v>
      </c>
      <c r="O650" s="16">
        <f>IF(W650=1,L650,((D650*G650/H650)-P650)/(1-V650)-S650-T650)</f>
        <v>668.7366666666667</v>
      </c>
      <c r="P650" s="16">
        <v>0</v>
      </c>
      <c r="Q650" s="16">
        <f>IF(U650=0,"0",O650*U650)</f>
        <v>223.86122534330565</v>
      </c>
      <c r="R650" s="17">
        <f>IF(U650=0,(((D650*G650/H650)-P650-S650-T650)/(1-V650)),(((D650*G650/H650)-P650-S650-T650)/(1-V650))-((D650*G650/H650)-P650-S650-T650)*U650/(1-V650))</f>
        <v>444.87544132336103</v>
      </c>
      <c r="S650" s="12">
        <v>0</v>
      </c>
      <c r="T650" s="12">
        <v>0</v>
      </c>
      <c r="U650" s="12">
        <v>0.334752431714485</v>
      </c>
      <c r="V650" s="12">
        <v>0</v>
      </c>
      <c r="W650" s="28">
        <f>IF(V650&gt;U650,1,V650)</f>
        <v>0</v>
      </c>
      <c r="X650" s="12">
        <v>1</v>
      </c>
      <c r="Y650" s="16">
        <v>0</v>
      </c>
      <c r="Z650" s="42" t="str">
        <f>IF(OR(W650=1,W650=0),"0",(Q650-N650))</f>
        <v>0</v>
      </c>
      <c r="AA650" s="53" t="s">
        <v>1934</v>
      </c>
      <c r="AB650" s="16" t="s">
        <v>1936</v>
      </c>
      <c r="AC650" s="16">
        <v>311.55</v>
      </c>
      <c r="AD650" s="16">
        <v>934.63</v>
      </c>
      <c r="AE650" s="16">
        <f>ROUND(AC650*100,0)</f>
        <v>31155</v>
      </c>
      <c r="AF650" s="16">
        <f>ROUND(AD650*100,0)</f>
        <v>93463</v>
      </c>
      <c r="AG650" s="19" t="str">
        <f>IF(AC650=AD650,"TAM",(CONCATENATE(AE650,"/",AF650)))</f>
        <v>31155/93463</v>
      </c>
      <c r="AH650" s="11" t="s">
        <v>50</v>
      </c>
      <c r="AI650" s="21" t="s">
        <v>50</v>
      </c>
      <c r="AJ650" s="21" t="s">
        <v>1935</v>
      </c>
      <c r="AK650" s="54" t="s">
        <v>50</v>
      </c>
      <c r="AL650" s="1" t="s">
        <v>50</v>
      </c>
    </row>
    <row r="651" spans="1:37" ht="12.75" customHeight="1">
      <c r="A651" s="43"/>
      <c r="B651" s="13"/>
      <c r="C651" s="13"/>
      <c r="D651" s="31"/>
      <c r="E651" s="14" t="s">
        <v>50</v>
      </c>
      <c r="F651" s="14"/>
      <c r="G651" s="14"/>
      <c r="H651" s="14"/>
      <c r="I651" s="31"/>
      <c r="J651" s="31"/>
      <c r="K651" s="15"/>
      <c r="L651" s="15"/>
      <c r="M651" s="15"/>
      <c r="N651" s="15"/>
      <c r="O651" s="15"/>
      <c r="P651" s="14"/>
      <c r="Q651" s="14"/>
      <c r="R651" s="14"/>
      <c r="S651" s="14"/>
      <c r="T651" s="14"/>
      <c r="U651" s="14"/>
      <c r="V651" s="14"/>
      <c r="W651" s="14"/>
      <c r="X651" s="14"/>
      <c r="Y651" s="13"/>
      <c r="Z651" s="44"/>
      <c r="AA651" s="43"/>
      <c r="AB651" s="13"/>
      <c r="AC651" s="13"/>
      <c r="AD651" s="13"/>
      <c r="AE651" s="13"/>
      <c r="AF651" s="13"/>
      <c r="AG651" s="13"/>
      <c r="AH651" s="13"/>
      <c r="AI651" s="13"/>
      <c r="AJ651" s="13"/>
      <c r="AK651" s="44"/>
    </row>
    <row r="652" spans="1:38" ht="12.75" customHeight="1">
      <c r="A652" s="41">
        <v>219</v>
      </c>
      <c r="B652" s="10">
        <v>1070</v>
      </c>
      <c r="C652" s="10" t="s">
        <v>1937</v>
      </c>
      <c r="D652" s="16">
        <v>454.81</v>
      </c>
      <c r="E652" s="20" t="s">
        <v>1938</v>
      </c>
      <c r="F652" s="20" t="s">
        <v>1939</v>
      </c>
      <c r="G652" s="12">
        <v>1</v>
      </c>
      <c r="H652" s="12">
        <v>1</v>
      </c>
      <c r="I652" s="16">
        <f>ROUND(G652,0)</f>
        <v>1</v>
      </c>
      <c r="J652" s="16">
        <f>ROUND(H652,0)</f>
        <v>1</v>
      </c>
      <c r="K652" s="18" t="str">
        <f>IF(I652=J652,"TAM",(CONCATENATE(G652,"/",H652)))</f>
        <v>TAM</v>
      </c>
      <c r="L652" s="29">
        <f>454.81*1/1</f>
        <v>454.81</v>
      </c>
      <c r="M652" s="30">
        <v>0</v>
      </c>
      <c r="N652" s="16" t="str">
        <f>IF(M652=0,"0",(O652*M652))</f>
        <v>0</v>
      </c>
      <c r="O652" s="16">
        <f>IF(W652=1,L652,((D652*G652/H652)-P652)/(1-V652)-S652-T652)</f>
        <v>454.81</v>
      </c>
      <c r="P652" s="16">
        <v>0</v>
      </c>
      <c r="Q652" s="16">
        <f>IF(U652=0,"0",O652*U652)</f>
        <v>152.2487534680649</v>
      </c>
      <c r="R652" s="17">
        <f>IF(U652=0,(((D652*G652/H652)-P652-S652-T652)/(1-V652)),(((D652*G652/H652)-P652-S652-T652)/(1-V652))-((D652*G652/H652)-P652-S652-T652)*U652/(1-V652))</f>
        <v>302.5612465319351</v>
      </c>
      <c r="S652" s="12">
        <v>0</v>
      </c>
      <c r="T652" s="12">
        <v>0</v>
      </c>
      <c r="U652" s="12">
        <v>0.334752431714485</v>
      </c>
      <c r="V652" s="12">
        <v>0</v>
      </c>
      <c r="W652" s="28">
        <f>IF(V652&gt;U652,1,V652)</f>
        <v>0</v>
      </c>
      <c r="X652" s="12">
        <v>1</v>
      </c>
      <c r="Y652" s="16">
        <v>0</v>
      </c>
      <c r="Z652" s="42" t="str">
        <f>IF(OR(W652=1,W652=0),"0",(Q652-N652))</f>
        <v>0</v>
      </c>
      <c r="AA652" s="53" t="s">
        <v>1941</v>
      </c>
      <c r="AB652" s="16" t="s">
        <v>1943</v>
      </c>
      <c r="AC652" s="16">
        <v>262.48</v>
      </c>
      <c r="AD652" s="16">
        <v>801.1</v>
      </c>
      <c r="AE652" s="16">
        <f>ROUND(AC652*100,0)</f>
        <v>26248</v>
      </c>
      <c r="AF652" s="16">
        <f>ROUND(AD652*100,0)</f>
        <v>80110</v>
      </c>
      <c r="AG652" s="19" t="str">
        <f>IF(AC652=AD652,"TAM",(CONCATENATE(AE652,"/",AF652)))</f>
        <v>26248/80110</v>
      </c>
      <c r="AH652" s="11" t="s">
        <v>50</v>
      </c>
      <c r="AI652" s="21" t="s">
        <v>50</v>
      </c>
      <c r="AJ652" s="21" t="s">
        <v>1942</v>
      </c>
      <c r="AK652" s="54" t="s">
        <v>50</v>
      </c>
      <c r="AL652" s="1" t="s">
        <v>50</v>
      </c>
    </row>
    <row r="653" spans="1:37" ht="99.75" customHeight="1">
      <c r="A653" s="43"/>
      <c r="B653" s="13"/>
      <c r="C653" s="13"/>
      <c r="D653" s="31"/>
      <c r="E653" s="34" t="s">
        <v>1940</v>
      </c>
      <c r="F653" s="14"/>
      <c r="G653" s="14"/>
      <c r="H653" s="14"/>
      <c r="I653" s="31"/>
      <c r="J653" s="31"/>
      <c r="K653" s="15"/>
      <c r="L653" s="15"/>
      <c r="M653" s="15"/>
      <c r="N653" s="15"/>
      <c r="O653" s="15"/>
      <c r="P653" s="14"/>
      <c r="Q653" s="14"/>
      <c r="R653" s="14"/>
      <c r="S653" s="14"/>
      <c r="T653" s="14"/>
      <c r="U653" s="14"/>
      <c r="V653" s="14"/>
      <c r="W653" s="14"/>
      <c r="X653" s="14"/>
      <c r="Y653" s="13"/>
      <c r="Z653" s="44"/>
      <c r="AA653" s="43"/>
      <c r="AB653" s="13"/>
      <c r="AC653" s="13"/>
      <c r="AD653" s="13"/>
      <c r="AE653" s="13"/>
      <c r="AF653" s="13"/>
      <c r="AG653" s="13"/>
      <c r="AH653" s="13"/>
      <c r="AI653" s="13"/>
      <c r="AJ653" s="13"/>
      <c r="AK653" s="44"/>
    </row>
    <row r="654" spans="1:38" ht="12.75" customHeight="1">
      <c r="A654" s="41">
        <v>230</v>
      </c>
      <c r="B654" s="10">
        <v>1071</v>
      </c>
      <c r="C654" s="10" t="s">
        <v>1944</v>
      </c>
      <c r="D654" s="16">
        <v>467.87</v>
      </c>
      <c r="E654" s="20" t="s">
        <v>1945</v>
      </c>
      <c r="F654" s="20" t="s">
        <v>1946</v>
      </c>
      <c r="G654" s="12">
        <v>1</v>
      </c>
      <c r="H654" s="12">
        <v>1</v>
      </c>
      <c r="I654" s="16">
        <f>ROUND(G654,0)</f>
        <v>1</v>
      </c>
      <c r="J654" s="16">
        <f>ROUND(H654,0)</f>
        <v>1</v>
      </c>
      <c r="K654" s="18" t="str">
        <f>IF(I654=J654,"TAM",(CONCATENATE(G654,"/",H654)))</f>
        <v>TAM</v>
      </c>
      <c r="L654" s="29">
        <f>467.87*1/1</f>
        <v>467.87</v>
      </c>
      <c r="M654" s="30">
        <v>0</v>
      </c>
      <c r="N654" s="16" t="str">
        <f>IF(M654=0,"0",(O654*M654))</f>
        <v>0</v>
      </c>
      <c r="O654" s="16">
        <f>IF(W654=1,L654,((D654*G654/H654)-P654)/(1-V654)-S654-T654)</f>
        <v>467.87</v>
      </c>
      <c r="P654" s="16">
        <v>0</v>
      </c>
      <c r="Q654" s="16">
        <f>IF(U654=0,"0",O654*U654)</f>
        <v>156.62062022625608</v>
      </c>
      <c r="R654" s="17">
        <f>IF(U654=0,(((D654*G654/H654)-P654-S654-T654)/(1-V654)),(((D654*G654/H654)-P654-S654-T654)/(1-V654))-((D654*G654/H654)-P654-S654-T654)*U654/(1-V654))</f>
        <v>311.24937977374395</v>
      </c>
      <c r="S654" s="12">
        <v>0</v>
      </c>
      <c r="T654" s="12">
        <v>0</v>
      </c>
      <c r="U654" s="12">
        <v>0.334752431714485</v>
      </c>
      <c r="V654" s="12">
        <v>0</v>
      </c>
      <c r="W654" s="28">
        <f>IF(V654&gt;U654,1,V654)</f>
        <v>0</v>
      </c>
      <c r="X654" s="12">
        <v>1</v>
      </c>
      <c r="Y654" s="16">
        <v>0</v>
      </c>
      <c r="Z654" s="42" t="str">
        <f>IF(OR(W654=1,W654=0),"0",(Q654-N654))</f>
        <v>0</v>
      </c>
      <c r="AA654" s="53" t="s">
        <v>1947</v>
      </c>
      <c r="AB654" s="16" t="s">
        <v>1949</v>
      </c>
      <c r="AC654" s="16">
        <v>311.25</v>
      </c>
      <c r="AD654" s="16">
        <v>801.1</v>
      </c>
      <c r="AE654" s="16">
        <f>ROUND(AC654*100,0)</f>
        <v>31125</v>
      </c>
      <c r="AF654" s="16">
        <f>ROUND(AD654*100,0)</f>
        <v>80110</v>
      </c>
      <c r="AG654" s="19" t="str">
        <f>IF(AC654=AD654,"TAM",(CONCATENATE(AE654,"/",AF654)))</f>
        <v>31125/80110</v>
      </c>
      <c r="AH654" s="11" t="s">
        <v>50</v>
      </c>
      <c r="AI654" s="21" t="s">
        <v>50</v>
      </c>
      <c r="AJ654" s="21" t="s">
        <v>1948</v>
      </c>
      <c r="AK654" s="54" t="s">
        <v>50</v>
      </c>
      <c r="AL654" s="1" t="s">
        <v>50</v>
      </c>
    </row>
    <row r="655" spans="1:37" ht="12.75" customHeight="1">
      <c r="A655" s="43"/>
      <c r="B655" s="13"/>
      <c r="C655" s="13"/>
      <c r="D655" s="31"/>
      <c r="E655" s="14" t="s">
        <v>50</v>
      </c>
      <c r="F655" s="14"/>
      <c r="G655" s="14"/>
      <c r="H655" s="14"/>
      <c r="I655" s="31"/>
      <c r="J655" s="31"/>
      <c r="K655" s="15"/>
      <c r="L655" s="15"/>
      <c r="M655" s="15"/>
      <c r="N655" s="15"/>
      <c r="O655" s="15"/>
      <c r="P655" s="14"/>
      <c r="Q655" s="14"/>
      <c r="R655" s="14"/>
      <c r="S655" s="14"/>
      <c r="T655" s="14"/>
      <c r="U655" s="14"/>
      <c r="V655" s="14"/>
      <c r="W655" s="14"/>
      <c r="X655" s="14"/>
      <c r="Y655" s="13"/>
      <c r="Z655" s="44"/>
      <c r="AA655" s="43"/>
      <c r="AB655" s="13"/>
      <c r="AC655" s="13"/>
      <c r="AD655" s="13"/>
      <c r="AE655" s="13"/>
      <c r="AF655" s="13"/>
      <c r="AG655" s="13"/>
      <c r="AH655" s="13"/>
      <c r="AI655" s="13"/>
      <c r="AJ655" s="13"/>
      <c r="AK655" s="44"/>
    </row>
    <row r="656" spans="1:38" ht="12.75" customHeight="1">
      <c r="A656" s="41">
        <v>231</v>
      </c>
      <c r="B656" s="10">
        <v>1072</v>
      </c>
      <c r="C656" s="10" t="s">
        <v>1950</v>
      </c>
      <c r="D656" s="16">
        <v>338.15</v>
      </c>
      <c r="E656" s="20" t="s">
        <v>1951</v>
      </c>
      <c r="F656" s="20" t="s">
        <v>1952</v>
      </c>
      <c r="G656" s="12">
        <v>1</v>
      </c>
      <c r="H656" s="12">
        <v>1</v>
      </c>
      <c r="I656" s="16">
        <f>ROUND(G656,0)</f>
        <v>1</v>
      </c>
      <c r="J656" s="16">
        <f>ROUND(H656,0)</f>
        <v>1</v>
      </c>
      <c r="K656" s="18" t="str">
        <f>IF(I656=J656,"TAM",(CONCATENATE(G656,"/",H656)))</f>
        <v>TAM</v>
      </c>
      <c r="L656" s="29">
        <f>338.15*1/1</f>
        <v>338.15</v>
      </c>
      <c r="M656" s="30">
        <v>0</v>
      </c>
      <c r="N656" s="16" t="str">
        <f>IF(M656=0,"0",(O656*M656))</f>
        <v>0</v>
      </c>
      <c r="O656" s="16">
        <f>IF(W656=1,L656,((D656*G656/H656)-P656)/(1-V656)-S656-T656)</f>
        <v>338.15</v>
      </c>
      <c r="P656" s="16">
        <v>0</v>
      </c>
      <c r="Q656" s="16">
        <f>IF(U656=0,"0",O656*U656)</f>
        <v>113.19653478425309</v>
      </c>
      <c r="R656" s="17">
        <f>IF(U656=0,(((D656*G656/H656)-P656-S656-T656)/(1-V656)),(((D656*G656/H656)-P656-S656-T656)/(1-V656))-((D656*G656/H656)-P656-S656-T656)*U656/(1-V656))</f>
        <v>224.9534652157469</v>
      </c>
      <c r="S656" s="12">
        <v>0</v>
      </c>
      <c r="T656" s="12">
        <v>0</v>
      </c>
      <c r="U656" s="12">
        <v>0.334752431714485</v>
      </c>
      <c r="V656" s="12">
        <v>0</v>
      </c>
      <c r="W656" s="28">
        <f>IF(V656&gt;U656,1,V656)</f>
        <v>0</v>
      </c>
      <c r="X656" s="12">
        <v>1</v>
      </c>
      <c r="Y656" s="16">
        <v>0</v>
      </c>
      <c r="Z656" s="42" t="str">
        <f>IF(OR(W656=1,W656=0),"0",(Q656-N656))</f>
        <v>0</v>
      </c>
      <c r="AA656" s="53" t="s">
        <v>1953</v>
      </c>
      <c r="AB656" s="16" t="s">
        <v>1955</v>
      </c>
      <c r="AC656" s="16">
        <v>224.95</v>
      </c>
      <c r="AD656" s="16">
        <v>801.1</v>
      </c>
      <c r="AE656" s="16">
        <f>ROUND(AC656*100,0)</f>
        <v>22495</v>
      </c>
      <c r="AF656" s="16">
        <f>ROUND(AD656*100,0)</f>
        <v>80110</v>
      </c>
      <c r="AG656" s="19" t="str">
        <f>IF(AC656=AD656,"TAM",(CONCATENATE(AE656,"/",AF656)))</f>
        <v>22495/80110</v>
      </c>
      <c r="AH656" s="11" t="s">
        <v>50</v>
      </c>
      <c r="AI656" s="21" t="s">
        <v>50</v>
      </c>
      <c r="AJ656" s="21" t="s">
        <v>1954</v>
      </c>
      <c r="AK656" s="54" t="s">
        <v>50</v>
      </c>
      <c r="AL656" s="1" t="s">
        <v>50</v>
      </c>
    </row>
    <row r="657" spans="1:37" ht="12.75" customHeight="1">
      <c r="A657" s="43"/>
      <c r="B657" s="13"/>
      <c r="C657" s="13"/>
      <c r="D657" s="31"/>
      <c r="E657" s="14" t="s">
        <v>50</v>
      </c>
      <c r="F657" s="14"/>
      <c r="G657" s="14"/>
      <c r="H657" s="14"/>
      <c r="I657" s="31"/>
      <c r="J657" s="31"/>
      <c r="K657" s="15"/>
      <c r="L657" s="15"/>
      <c r="M657" s="15"/>
      <c r="N657" s="15"/>
      <c r="O657" s="15"/>
      <c r="P657" s="14"/>
      <c r="Q657" s="14"/>
      <c r="R657" s="14"/>
      <c r="S657" s="14"/>
      <c r="T657" s="14"/>
      <c r="U657" s="14"/>
      <c r="V657" s="14"/>
      <c r="W657" s="14"/>
      <c r="X657" s="14"/>
      <c r="Y657" s="13"/>
      <c r="Z657" s="44"/>
      <c r="AA657" s="43"/>
      <c r="AB657" s="13"/>
      <c r="AC657" s="13"/>
      <c r="AD657" s="13"/>
      <c r="AE657" s="13"/>
      <c r="AF657" s="13"/>
      <c r="AG657" s="13"/>
      <c r="AH657" s="13"/>
      <c r="AI657" s="13"/>
      <c r="AJ657" s="13"/>
      <c r="AK657" s="44"/>
    </row>
    <row r="658" spans="1:38" ht="12.75" customHeight="1">
      <c r="A658" s="41">
        <v>461</v>
      </c>
      <c r="B658" s="10">
        <v>1141</v>
      </c>
      <c r="C658" s="10" t="s">
        <v>1956</v>
      </c>
      <c r="D658" s="16">
        <v>1230.41</v>
      </c>
      <c r="E658" s="20" t="s">
        <v>1957</v>
      </c>
      <c r="F658" s="20" t="s">
        <v>1958</v>
      </c>
      <c r="G658" s="12">
        <v>1</v>
      </c>
      <c r="H658" s="12">
        <v>1</v>
      </c>
      <c r="I658" s="16">
        <f>ROUND(G658,0)</f>
        <v>1</v>
      </c>
      <c r="J658" s="16">
        <f>ROUND(H658,0)</f>
        <v>1</v>
      </c>
      <c r="K658" s="18" t="str">
        <f>IF(I658=J658,"TAM",(CONCATENATE(G658,"/",H658)))</f>
        <v>TAM</v>
      </c>
      <c r="L658" s="29">
        <f>1230.41*1/1</f>
        <v>1230.41</v>
      </c>
      <c r="M658" s="30">
        <v>0</v>
      </c>
      <c r="N658" s="16" t="str">
        <f>IF(M658=0,"0",(O658*M658))</f>
        <v>0</v>
      </c>
      <c r="O658" s="16">
        <f>IF(W658=1,L658,((D658*G658/H658)-P658)/(1-V658)-S658-T658)</f>
        <v>1230.41</v>
      </c>
      <c r="P658" s="16">
        <v>0</v>
      </c>
      <c r="Q658" s="16">
        <f>IF(U658=0,"0",O658*U658)</f>
        <v>411.88273950581953</v>
      </c>
      <c r="R658" s="17">
        <f>IF(U658=0,(((D658*G658/H658)-P658-S658-T658)/(1-V658)),(((D658*G658/H658)-P658-S658-T658)/(1-V658))-((D658*G658/H658)-P658-S658-T658)*U658/(1-V658))</f>
        <v>818.5272604941806</v>
      </c>
      <c r="S658" s="12">
        <v>0</v>
      </c>
      <c r="T658" s="12">
        <v>0</v>
      </c>
      <c r="U658" s="12">
        <v>0.334752431714485</v>
      </c>
      <c r="V658" s="12">
        <v>0</v>
      </c>
      <c r="W658" s="28">
        <f>IF(V658&gt;U658,1,V658)</f>
        <v>0</v>
      </c>
      <c r="X658" s="12">
        <v>1</v>
      </c>
      <c r="Y658" s="16">
        <v>0</v>
      </c>
      <c r="Z658" s="42" t="str">
        <f>IF(OR(W658=1,W658=0),"0",(Q658-N658))</f>
        <v>0</v>
      </c>
      <c r="AA658" s="53" t="s">
        <v>1959</v>
      </c>
      <c r="AB658" s="16" t="s">
        <v>1961</v>
      </c>
      <c r="AC658" s="16">
        <v>2.42</v>
      </c>
      <c r="AD658" s="16">
        <v>801.1</v>
      </c>
      <c r="AE658" s="16">
        <f>ROUND(AC658*100,0)</f>
        <v>242</v>
      </c>
      <c r="AF658" s="16">
        <f>ROUND(AD658*100,0)</f>
        <v>80110</v>
      </c>
      <c r="AG658" s="19" t="str">
        <f>IF(AC658=AD658,"TAM",(CONCATENATE(AE658,"/",AF658)))</f>
        <v>242/80110</v>
      </c>
      <c r="AH658" s="11" t="s">
        <v>50</v>
      </c>
      <c r="AI658" s="21" t="s">
        <v>50</v>
      </c>
      <c r="AJ658" s="21" t="s">
        <v>1960</v>
      </c>
      <c r="AK658" s="54" t="s">
        <v>50</v>
      </c>
      <c r="AL658" s="1" t="s">
        <v>50</v>
      </c>
    </row>
    <row r="659" spans="1:37" ht="12.75" customHeight="1">
      <c r="A659" s="43"/>
      <c r="B659" s="13"/>
      <c r="C659" s="13"/>
      <c r="D659" s="31"/>
      <c r="E659" s="14" t="s">
        <v>50</v>
      </c>
      <c r="F659" s="14"/>
      <c r="G659" s="14"/>
      <c r="H659" s="14"/>
      <c r="I659" s="31"/>
      <c r="J659" s="31"/>
      <c r="K659" s="15"/>
      <c r="L659" s="15"/>
      <c r="M659" s="15"/>
      <c r="N659" s="15"/>
      <c r="O659" s="15"/>
      <c r="P659" s="14"/>
      <c r="Q659" s="14"/>
      <c r="R659" s="14"/>
      <c r="S659" s="14"/>
      <c r="T659" s="14"/>
      <c r="U659" s="14"/>
      <c r="V659" s="14"/>
      <c r="W659" s="14"/>
      <c r="X659" s="14"/>
      <c r="Y659" s="13"/>
      <c r="Z659" s="44"/>
      <c r="AA659" s="43"/>
      <c r="AB659" s="13"/>
      <c r="AC659" s="13"/>
      <c r="AD659" s="13"/>
      <c r="AE659" s="13"/>
      <c r="AF659" s="13"/>
      <c r="AG659" s="13"/>
      <c r="AH659" s="13"/>
      <c r="AI659" s="13"/>
      <c r="AJ659" s="13"/>
      <c r="AK659" s="44"/>
    </row>
    <row r="660" spans="1:38" ht="12.75" customHeight="1">
      <c r="A660" s="41">
        <v>1</v>
      </c>
      <c r="B660" s="10">
        <v>969</v>
      </c>
      <c r="C660" s="10" t="s">
        <v>1962</v>
      </c>
      <c r="D660" s="16">
        <v>393.58</v>
      </c>
      <c r="E660" s="20" t="s">
        <v>1963</v>
      </c>
      <c r="F660" s="20" t="s">
        <v>1964</v>
      </c>
      <c r="G660" s="12">
        <v>1</v>
      </c>
      <c r="H660" s="12">
        <v>1</v>
      </c>
      <c r="I660" s="16">
        <f>ROUND(G660,0)</f>
        <v>1</v>
      </c>
      <c r="J660" s="16">
        <f>ROUND(H660,0)</f>
        <v>1</v>
      </c>
      <c r="K660" s="18" t="str">
        <f>IF(I660=J660,"TAM",(CONCATENATE(G660,"/",H660)))</f>
        <v>TAM</v>
      </c>
      <c r="L660" s="29">
        <f>393.58*1/1</f>
        <v>393.58</v>
      </c>
      <c r="M660" s="30">
        <v>0</v>
      </c>
      <c r="N660" s="16" t="str">
        <f>IF(M660=0,"0",(O660*M660))</f>
        <v>0</v>
      </c>
      <c r="O660" s="16">
        <f>IF(W660=1,L660,((D660*G660/H660)-P660)/(1-V660)-S660-T660)</f>
        <v>393.58</v>
      </c>
      <c r="P660" s="16">
        <v>0</v>
      </c>
      <c r="Q660" s="16">
        <f>IF(U660=0,"0",O660*U660)</f>
        <v>131.751862074187</v>
      </c>
      <c r="R660" s="17">
        <f>IF(U660=0,(((D660*G660/H660)-P660-S660-T660)/(1-V660)),(((D660*G660/H660)-P660-S660-T660)/(1-V660))-((D660*G660/H660)-P660-S660-T660)*U660/(1-V660))</f>
        <v>261.828137925813</v>
      </c>
      <c r="S660" s="12">
        <v>0</v>
      </c>
      <c r="T660" s="12">
        <v>0</v>
      </c>
      <c r="U660" s="12">
        <v>0.334752431714485</v>
      </c>
      <c r="V660" s="12">
        <v>0</v>
      </c>
      <c r="W660" s="28">
        <f>IF(V660&gt;U660,1,V660)</f>
        <v>0</v>
      </c>
      <c r="X660" s="12">
        <v>1</v>
      </c>
      <c r="Y660" s="16">
        <v>0</v>
      </c>
      <c r="Z660" s="42" t="str">
        <f>IF(OR(W660=1,W660=0),"0",(Q660-N660))</f>
        <v>0</v>
      </c>
      <c r="AA660" s="53" t="s">
        <v>1965</v>
      </c>
      <c r="AB660" s="16" t="s">
        <v>1967</v>
      </c>
      <c r="AC660" s="16">
        <v>261.83</v>
      </c>
      <c r="AD660" s="16">
        <v>494.93</v>
      </c>
      <c r="AE660" s="16">
        <f>ROUND(AC660*100,0)</f>
        <v>26183</v>
      </c>
      <c r="AF660" s="16">
        <f>ROUND(AD660*100,0)</f>
        <v>49493</v>
      </c>
      <c r="AG660" s="19" t="str">
        <f>IF(AC660=AD660,"TAM",(CONCATENATE(AE660,"/",AF660)))</f>
        <v>26183/49493</v>
      </c>
      <c r="AH660" s="11" t="s">
        <v>50</v>
      </c>
      <c r="AI660" s="21" t="s">
        <v>50</v>
      </c>
      <c r="AJ660" s="21" t="s">
        <v>1966</v>
      </c>
      <c r="AK660" s="54" t="s">
        <v>50</v>
      </c>
      <c r="AL660" s="1" t="s">
        <v>50</v>
      </c>
    </row>
    <row r="661" spans="1:37" ht="12.75" customHeight="1">
      <c r="A661" s="43"/>
      <c r="B661" s="13"/>
      <c r="C661" s="13"/>
      <c r="D661" s="31"/>
      <c r="E661" s="14" t="s">
        <v>50</v>
      </c>
      <c r="F661" s="14"/>
      <c r="G661" s="14"/>
      <c r="H661" s="14"/>
      <c r="I661" s="31"/>
      <c r="J661" s="31"/>
      <c r="K661" s="15"/>
      <c r="L661" s="15"/>
      <c r="M661" s="15"/>
      <c r="N661" s="15"/>
      <c r="O661" s="15"/>
      <c r="P661" s="14"/>
      <c r="Q661" s="14"/>
      <c r="R661" s="14"/>
      <c r="S661" s="14"/>
      <c r="T661" s="14"/>
      <c r="U661" s="14"/>
      <c r="V661" s="14"/>
      <c r="W661" s="14"/>
      <c r="X661" s="14"/>
      <c r="Y661" s="13"/>
      <c r="Z661" s="44"/>
      <c r="AA661" s="43"/>
      <c r="AB661" s="13"/>
      <c r="AC661" s="13"/>
      <c r="AD661" s="13"/>
      <c r="AE661" s="13"/>
      <c r="AF661" s="13"/>
      <c r="AG661" s="13"/>
      <c r="AH661" s="13"/>
      <c r="AI661" s="13"/>
      <c r="AJ661" s="13"/>
      <c r="AK661" s="44"/>
    </row>
    <row r="662" spans="1:38" ht="12.75" customHeight="1">
      <c r="A662" s="41">
        <v>44</v>
      </c>
      <c r="B662" s="10">
        <v>1943</v>
      </c>
      <c r="C662" s="10" t="s">
        <v>1968</v>
      </c>
      <c r="D662" s="16">
        <v>139.21</v>
      </c>
      <c r="E662" s="20" t="s">
        <v>1969</v>
      </c>
      <c r="F662" s="20" t="s">
        <v>1970</v>
      </c>
      <c r="G662" s="12">
        <v>1</v>
      </c>
      <c r="H662" s="12">
        <v>1</v>
      </c>
      <c r="I662" s="16">
        <f>ROUND(G662,0)</f>
        <v>1</v>
      </c>
      <c r="J662" s="16">
        <f>ROUND(H662,0)</f>
        <v>1</v>
      </c>
      <c r="K662" s="18" t="str">
        <f>IF(I662=J662,"TAM",(CONCATENATE(G662,"/",H662)))</f>
        <v>TAM</v>
      </c>
      <c r="L662" s="29">
        <f>139.21*1/1</f>
        <v>139.21</v>
      </c>
      <c r="M662" s="30">
        <v>0</v>
      </c>
      <c r="N662" s="16" t="str">
        <f>IF(M662=0,"0",(O662*M662))</f>
        <v>0</v>
      </c>
      <c r="O662" s="16">
        <f>IF(W662=1,L662,((D662*G662/H662)-P662)/(1-V662)-S662-T662)</f>
        <v>139.21</v>
      </c>
      <c r="P662" s="16">
        <v>0</v>
      </c>
      <c r="Q662" s="16">
        <f>IF(U662=0,"0",O662*U662)</f>
        <v>46.600886018973455</v>
      </c>
      <c r="R662" s="17">
        <f>IF(U662=0,(((D662*G662/H662)-P662-S662-T662)/(1-V662)),(((D662*G662/H662)-P662-S662-T662)/(1-V662))-((D662*G662/H662)-P662-S662-T662)*U662/(1-V662))</f>
        <v>92.60911398102655</v>
      </c>
      <c r="S662" s="12">
        <v>0</v>
      </c>
      <c r="T662" s="12">
        <v>0</v>
      </c>
      <c r="U662" s="12">
        <v>0.334752431714485</v>
      </c>
      <c r="V662" s="12">
        <v>0</v>
      </c>
      <c r="W662" s="28">
        <f>IF(V662&gt;U662,1,V662)</f>
        <v>0</v>
      </c>
      <c r="X662" s="12">
        <v>1</v>
      </c>
      <c r="Y662" s="16">
        <v>0</v>
      </c>
      <c r="Z662" s="42" t="str">
        <f>IF(OR(W662=1,W662=0),"0",(Q662-N662))</f>
        <v>0</v>
      </c>
      <c r="AA662" s="53" t="s">
        <v>1971</v>
      </c>
      <c r="AB662" s="16" t="s">
        <v>1973</v>
      </c>
      <c r="AC662" s="16">
        <v>92.61</v>
      </c>
      <c r="AD662" s="16">
        <v>494.93</v>
      </c>
      <c r="AE662" s="16">
        <f>ROUND(AC662*100,0)</f>
        <v>9261</v>
      </c>
      <c r="AF662" s="16">
        <f>ROUND(AD662*100,0)</f>
        <v>49493</v>
      </c>
      <c r="AG662" s="19" t="str">
        <f>IF(AC662=AD662,"TAM",(CONCATENATE(AE662,"/",AF662)))</f>
        <v>9261/49493</v>
      </c>
      <c r="AH662" s="11" t="s">
        <v>50</v>
      </c>
      <c r="AI662" s="21" t="s">
        <v>50</v>
      </c>
      <c r="AJ662" s="21" t="s">
        <v>1972</v>
      </c>
      <c r="AK662" s="54" t="s">
        <v>50</v>
      </c>
      <c r="AL662" s="1" t="s">
        <v>50</v>
      </c>
    </row>
    <row r="663" spans="1:37" ht="12.75" customHeight="1">
      <c r="A663" s="43"/>
      <c r="B663" s="13"/>
      <c r="C663" s="13"/>
      <c r="D663" s="31"/>
      <c r="E663" s="14" t="s">
        <v>50</v>
      </c>
      <c r="F663" s="14"/>
      <c r="G663" s="14"/>
      <c r="H663" s="14"/>
      <c r="I663" s="31"/>
      <c r="J663" s="31"/>
      <c r="K663" s="15"/>
      <c r="L663" s="15"/>
      <c r="M663" s="15"/>
      <c r="N663" s="15"/>
      <c r="O663" s="15"/>
      <c r="P663" s="14"/>
      <c r="Q663" s="14"/>
      <c r="R663" s="14"/>
      <c r="S663" s="14"/>
      <c r="T663" s="14"/>
      <c r="U663" s="14"/>
      <c r="V663" s="14"/>
      <c r="W663" s="14"/>
      <c r="X663" s="14"/>
      <c r="Y663" s="13"/>
      <c r="Z663" s="44"/>
      <c r="AA663" s="43"/>
      <c r="AB663" s="13"/>
      <c r="AC663" s="13"/>
      <c r="AD663" s="13"/>
      <c r="AE663" s="13"/>
      <c r="AF663" s="13"/>
      <c r="AG663" s="13"/>
      <c r="AH663" s="13"/>
      <c r="AI663" s="13"/>
      <c r="AJ663" s="13"/>
      <c r="AK663" s="44"/>
    </row>
    <row r="664" spans="1:38" ht="12.75" customHeight="1">
      <c r="A664" s="41">
        <v>45</v>
      </c>
      <c r="B664" s="10">
        <v>1945</v>
      </c>
      <c r="C664" s="10" t="s">
        <v>1974</v>
      </c>
      <c r="D664" s="16">
        <v>211.18</v>
      </c>
      <c r="E664" s="20" t="s">
        <v>1975</v>
      </c>
      <c r="F664" s="20" t="s">
        <v>1976</v>
      </c>
      <c r="G664" s="12">
        <v>1</v>
      </c>
      <c r="H664" s="12">
        <v>1</v>
      </c>
      <c r="I664" s="16">
        <f>ROUND(G664,0)</f>
        <v>1</v>
      </c>
      <c r="J664" s="16">
        <f>ROUND(H664,0)</f>
        <v>1</v>
      </c>
      <c r="K664" s="18" t="str">
        <f>IF(I664=J664,"TAM",(CONCATENATE(G664,"/",H664)))</f>
        <v>TAM</v>
      </c>
      <c r="L664" s="29">
        <f>211.18*1/1</f>
        <v>211.18</v>
      </c>
      <c r="M664" s="30">
        <v>0</v>
      </c>
      <c r="N664" s="16" t="str">
        <f>IF(M664=0,"0",(O664*M664))</f>
        <v>0</v>
      </c>
      <c r="O664" s="16">
        <f>IF(W664=1,L664,((D664*G664/H664)-P664)/(1-V664)-S664-T664)</f>
        <v>211.18</v>
      </c>
      <c r="P664" s="16">
        <v>0</v>
      </c>
      <c r="Q664" s="16">
        <f>IF(U664=0,"0",O664*U664)</f>
        <v>70.69301852946494</v>
      </c>
      <c r="R664" s="17">
        <f>IF(U664=0,(((D664*G664/H664)-P664-S664-T664)/(1-V664)),(((D664*G664/H664)-P664-S664-T664)/(1-V664))-((D664*G664/H664)-P664-S664-T664)*U664/(1-V664))</f>
        <v>140.48698147053506</v>
      </c>
      <c r="S664" s="12">
        <v>0</v>
      </c>
      <c r="T664" s="12">
        <v>0</v>
      </c>
      <c r="U664" s="12">
        <v>0.334752431714485</v>
      </c>
      <c r="V664" s="12">
        <v>0</v>
      </c>
      <c r="W664" s="28">
        <f>IF(V664&gt;U664,1,V664)</f>
        <v>0</v>
      </c>
      <c r="X664" s="12">
        <v>1</v>
      </c>
      <c r="Y664" s="16">
        <v>0</v>
      </c>
      <c r="Z664" s="42" t="str">
        <f>IF(OR(W664=1,W664=0),"0",(Q664-N664))</f>
        <v>0</v>
      </c>
      <c r="AA664" s="53" t="s">
        <v>1977</v>
      </c>
      <c r="AB664" s="16" t="s">
        <v>1979</v>
      </c>
      <c r="AC664" s="16">
        <v>140.49</v>
      </c>
      <c r="AD664" s="16">
        <v>494.93</v>
      </c>
      <c r="AE664" s="16">
        <f>ROUND(AC664*100,0)</f>
        <v>14049</v>
      </c>
      <c r="AF664" s="16">
        <f>ROUND(AD664*100,0)</f>
        <v>49493</v>
      </c>
      <c r="AG664" s="19" t="str">
        <f>IF(AC664=AD664,"TAM",(CONCATENATE(AE664,"/",AF664)))</f>
        <v>14049/49493</v>
      </c>
      <c r="AH664" s="11" t="s">
        <v>50</v>
      </c>
      <c r="AI664" s="21" t="s">
        <v>50</v>
      </c>
      <c r="AJ664" s="21" t="s">
        <v>1978</v>
      </c>
      <c r="AK664" s="54" t="s">
        <v>50</v>
      </c>
      <c r="AL664" s="1" t="s">
        <v>50</v>
      </c>
    </row>
    <row r="665" spans="1:37" ht="12.75" customHeight="1">
      <c r="A665" s="43"/>
      <c r="B665" s="13"/>
      <c r="C665" s="13"/>
      <c r="D665" s="31"/>
      <c r="E665" s="14" t="s">
        <v>50</v>
      </c>
      <c r="F665" s="14"/>
      <c r="G665" s="14"/>
      <c r="H665" s="14"/>
      <c r="I665" s="31"/>
      <c r="J665" s="31"/>
      <c r="K665" s="15"/>
      <c r="L665" s="15"/>
      <c r="M665" s="15"/>
      <c r="N665" s="15"/>
      <c r="O665" s="15"/>
      <c r="P665" s="14"/>
      <c r="Q665" s="14"/>
      <c r="R665" s="14"/>
      <c r="S665" s="14"/>
      <c r="T665" s="14"/>
      <c r="U665" s="14"/>
      <c r="V665" s="14"/>
      <c r="W665" s="14"/>
      <c r="X665" s="14"/>
      <c r="Y665" s="13"/>
      <c r="Z665" s="44"/>
      <c r="AA665" s="43"/>
      <c r="AB665" s="13"/>
      <c r="AC665" s="13"/>
      <c r="AD665" s="13"/>
      <c r="AE665" s="13"/>
      <c r="AF665" s="13"/>
      <c r="AG665" s="13"/>
      <c r="AH665" s="13"/>
      <c r="AI665" s="13"/>
      <c r="AJ665" s="13"/>
      <c r="AK665" s="44"/>
    </row>
    <row r="666" spans="1:38" ht="12.75" customHeight="1">
      <c r="A666" s="41">
        <v>46</v>
      </c>
      <c r="B666" s="10">
        <v>1946</v>
      </c>
      <c r="C666" s="10" t="s">
        <v>1980</v>
      </c>
      <c r="D666" s="16">
        <v>2972.02</v>
      </c>
      <c r="E666" s="20" t="s">
        <v>1981</v>
      </c>
      <c r="F666" s="20" t="s">
        <v>1982</v>
      </c>
      <c r="G666" s="12">
        <v>1</v>
      </c>
      <c r="H666" s="12">
        <v>1</v>
      </c>
      <c r="I666" s="16">
        <f>ROUND(G666,0)</f>
        <v>1</v>
      </c>
      <c r="J666" s="16">
        <f>ROUND(H666,0)</f>
        <v>1</v>
      </c>
      <c r="K666" s="18" t="str">
        <f>IF(I666=J666,"TAM",(CONCATENATE(G666,"/",H666)))</f>
        <v>TAM</v>
      </c>
      <c r="L666" s="29">
        <f>2972.02*1/1</f>
        <v>2972.02</v>
      </c>
      <c r="M666" s="30">
        <v>0</v>
      </c>
      <c r="N666" s="16" t="str">
        <f>IF(M666=0,"0",(O666*M666))</f>
        <v>0</v>
      </c>
      <c r="O666" s="16">
        <f>IF(W666=1,L666,((D666*G666/H666)-P666)/(1-V666)-S666-T666)</f>
        <v>852.7399999999998</v>
      </c>
      <c r="P666" s="16">
        <v>2119.28</v>
      </c>
      <c r="Q666" s="16">
        <f>IF(U666=0,"0",O666*U666)</f>
        <v>285.45678862020986</v>
      </c>
      <c r="R666" s="17">
        <f>IF(U666=0,(((D666*G666/H666)-P666-S666-T666)/(1-V666)),(((D666*G666/H666)-P666-S666-T666)/(1-V666))-((D666*G666/H666)-P666-S666-T666)*U666/(1-V666))</f>
        <v>567.2832113797899</v>
      </c>
      <c r="S666" s="12">
        <v>0</v>
      </c>
      <c r="T666" s="12">
        <v>0</v>
      </c>
      <c r="U666" s="12">
        <v>0.334752431714485</v>
      </c>
      <c r="V666" s="12">
        <v>0</v>
      </c>
      <c r="W666" s="28">
        <f>IF(V666&gt;U666,1,V666)</f>
        <v>0</v>
      </c>
      <c r="X666" s="12">
        <v>1</v>
      </c>
      <c r="Y666" s="16">
        <v>0</v>
      </c>
      <c r="Z666" s="42" t="str">
        <f>IF(OR(W666=1,W666=0),"0",(Q666-N666))</f>
        <v>0</v>
      </c>
      <c r="AA666" s="53" t="s">
        <v>1984</v>
      </c>
      <c r="AB666" s="16" t="s">
        <v>1986</v>
      </c>
      <c r="AC666" s="16">
        <v>567.28</v>
      </c>
      <c r="AD666" s="16">
        <v>567.28</v>
      </c>
      <c r="AE666" s="16">
        <f>ROUND(AC666*100,0)</f>
        <v>56728</v>
      </c>
      <c r="AF666" s="16">
        <f>ROUND(AD666*100,0)</f>
        <v>56728</v>
      </c>
      <c r="AG666" s="19" t="str">
        <f>IF(AC666=AD666,"TAM",(CONCATENATE(AE666,"/",AF666)))</f>
        <v>TAM</v>
      </c>
      <c r="AH666" s="11" t="s">
        <v>50</v>
      </c>
      <c r="AI666" s="21" t="s">
        <v>50</v>
      </c>
      <c r="AJ666" s="21" t="s">
        <v>1985</v>
      </c>
      <c r="AK666" s="54" t="s">
        <v>50</v>
      </c>
      <c r="AL666" s="1" t="s">
        <v>50</v>
      </c>
    </row>
    <row r="667" spans="1:37" ht="80.25" customHeight="1">
      <c r="A667" s="43"/>
      <c r="B667" s="13"/>
      <c r="C667" s="13"/>
      <c r="D667" s="31"/>
      <c r="E667" s="34" t="s">
        <v>1983</v>
      </c>
      <c r="F667" s="14"/>
      <c r="G667" s="14"/>
      <c r="H667" s="14"/>
      <c r="I667" s="31"/>
      <c r="J667" s="31"/>
      <c r="K667" s="15"/>
      <c r="L667" s="15"/>
      <c r="M667" s="15"/>
      <c r="N667" s="15"/>
      <c r="O667" s="15"/>
      <c r="P667" s="14"/>
      <c r="Q667" s="14"/>
      <c r="R667" s="14"/>
      <c r="S667" s="14"/>
      <c r="T667" s="14"/>
      <c r="U667" s="14"/>
      <c r="V667" s="14"/>
      <c r="W667" s="14"/>
      <c r="X667" s="14"/>
      <c r="Y667" s="13"/>
      <c r="Z667" s="44"/>
      <c r="AA667" s="43"/>
      <c r="AB667" s="13"/>
      <c r="AC667" s="13"/>
      <c r="AD667" s="13"/>
      <c r="AE667" s="13"/>
      <c r="AF667" s="13"/>
      <c r="AG667" s="13"/>
      <c r="AH667" s="13"/>
      <c r="AI667" s="13"/>
      <c r="AJ667" s="13"/>
      <c r="AK667" s="44"/>
    </row>
    <row r="668" spans="1:38" ht="12.75" customHeight="1">
      <c r="A668" s="41">
        <v>6</v>
      </c>
      <c r="B668" s="10">
        <v>970</v>
      </c>
      <c r="C668" s="10" t="s">
        <v>1987</v>
      </c>
      <c r="D668" s="16">
        <v>633.78</v>
      </c>
      <c r="E668" s="20" t="s">
        <v>1988</v>
      </c>
      <c r="F668" s="20" t="s">
        <v>1989</v>
      </c>
      <c r="G668" s="12">
        <v>1</v>
      </c>
      <c r="H668" s="12">
        <v>1</v>
      </c>
      <c r="I668" s="16">
        <f>ROUND(G668,0)</f>
        <v>1</v>
      </c>
      <c r="J668" s="16">
        <f>ROUND(H668,0)</f>
        <v>1</v>
      </c>
      <c r="K668" s="18" t="str">
        <f>IF(I668=J668,"TAM",(CONCATENATE(G668,"/",H668)))</f>
        <v>TAM</v>
      </c>
      <c r="L668" s="29">
        <f>633.78*1/1</f>
        <v>633.78</v>
      </c>
      <c r="M668" s="30">
        <v>0</v>
      </c>
      <c r="N668" s="16" t="str">
        <f>IF(M668=0,"0",(O668*M668))</f>
        <v>0</v>
      </c>
      <c r="O668" s="16">
        <f>IF(W668=1,L668,((D668*G668/H668)-P668)/(1-V668)-S668-T668)</f>
        <v>633.78</v>
      </c>
      <c r="P668" s="16">
        <v>0</v>
      </c>
      <c r="Q668" s="16">
        <f>IF(U668=0,"0",O668*U668)</f>
        <v>212.1593961720063</v>
      </c>
      <c r="R668" s="17">
        <f>IF(U668=0,(((D668*G668/H668)-P668-S668-T668)/(1-V668)),(((D668*G668/H668)-P668-S668-T668)/(1-V668))-((D668*G668/H668)-P668-S668-T668)*U668/(1-V668))</f>
        <v>421.6206038279937</v>
      </c>
      <c r="S668" s="12">
        <v>0</v>
      </c>
      <c r="T668" s="12">
        <v>0</v>
      </c>
      <c r="U668" s="12">
        <v>0.334752431714485</v>
      </c>
      <c r="V668" s="12">
        <v>0</v>
      </c>
      <c r="W668" s="28">
        <f>IF(V668&gt;U668,1,V668)</f>
        <v>0</v>
      </c>
      <c r="X668" s="12">
        <v>1</v>
      </c>
      <c r="Y668" s="16">
        <v>0</v>
      </c>
      <c r="Z668" s="42" t="str">
        <f>IF(OR(W668=1,W668=0),"0",(Q668-N668))</f>
        <v>0</v>
      </c>
      <c r="AA668" s="53" t="s">
        <v>1991</v>
      </c>
      <c r="AB668" s="16" t="s">
        <v>1993</v>
      </c>
      <c r="AC668" s="16">
        <v>421.62</v>
      </c>
      <c r="AD668" s="16">
        <v>691.69</v>
      </c>
      <c r="AE668" s="16">
        <f>ROUND(AC668*100,0)</f>
        <v>42162</v>
      </c>
      <c r="AF668" s="16">
        <f>ROUND(AD668*100,0)</f>
        <v>69169</v>
      </c>
      <c r="AG668" s="19" t="str">
        <f>IF(AC668=AD668,"TAM",(CONCATENATE(AE668,"/",AF668)))</f>
        <v>42162/69169</v>
      </c>
      <c r="AH668" s="11" t="s">
        <v>50</v>
      </c>
      <c r="AI668" s="21" t="s">
        <v>50</v>
      </c>
      <c r="AJ668" s="21" t="s">
        <v>1992</v>
      </c>
      <c r="AK668" s="54" t="s">
        <v>50</v>
      </c>
      <c r="AL668" s="1" t="s">
        <v>50</v>
      </c>
    </row>
    <row r="669" spans="1:37" ht="102" customHeight="1">
      <c r="A669" s="43"/>
      <c r="B669" s="13"/>
      <c r="C669" s="13"/>
      <c r="D669" s="31"/>
      <c r="E669" s="34" t="s">
        <v>1990</v>
      </c>
      <c r="F669" s="14"/>
      <c r="G669" s="14"/>
      <c r="H669" s="14"/>
      <c r="I669" s="31"/>
      <c r="J669" s="31"/>
      <c r="K669" s="15"/>
      <c r="L669" s="15"/>
      <c r="M669" s="15"/>
      <c r="N669" s="15"/>
      <c r="O669" s="15"/>
      <c r="P669" s="14"/>
      <c r="Q669" s="14"/>
      <c r="R669" s="14"/>
      <c r="S669" s="14"/>
      <c r="T669" s="14"/>
      <c r="U669" s="14"/>
      <c r="V669" s="14"/>
      <c r="W669" s="14"/>
      <c r="X669" s="14"/>
      <c r="Y669" s="13"/>
      <c r="Z669" s="44"/>
      <c r="AA669" s="43"/>
      <c r="AB669" s="13"/>
      <c r="AC669" s="13"/>
      <c r="AD669" s="13"/>
      <c r="AE669" s="13"/>
      <c r="AF669" s="13"/>
      <c r="AG669" s="13"/>
      <c r="AH669" s="13"/>
      <c r="AI669" s="13"/>
      <c r="AJ669" s="13"/>
      <c r="AK669" s="44"/>
    </row>
    <row r="670" spans="1:38" ht="12.75" customHeight="1">
      <c r="A670" s="41">
        <v>133</v>
      </c>
      <c r="B670" s="10">
        <v>1045</v>
      </c>
      <c r="C670" s="10" t="s">
        <v>1994</v>
      </c>
      <c r="D670" s="16">
        <v>468.2</v>
      </c>
      <c r="E670" s="20" t="s">
        <v>1995</v>
      </c>
      <c r="F670" s="20" t="s">
        <v>1996</v>
      </c>
      <c r="G670" s="12">
        <v>1</v>
      </c>
      <c r="H670" s="12">
        <v>1</v>
      </c>
      <c r="I670" s="16">
        <f>ROUND(G670,0)</f>
        <v>1</v>
      </c>
      <c r="J670" s="16">
        <f>ROUND(H670,0)</f>
        <v>1</v>
      </c>
      <c r="K670" s="18" t="str">
        <f>IF(I670=J670,"TAM",(CONCATENATE(G670,"/",H670)))</f>
        <v>TAM</v>
      </c>
      <c r="L670" s="29">
        <f>468.2*1/1</f>
        <v>468.2</v>
      </c>
      <c r="M670" s="30">
        <v>0</v>
      </c>
      <c r="N670" s="16" t="str">
        <f>IF(M670=0,"0",(O670*M670))</f>
        <v>0</v>
      </c>
      <c r="O670" s="16">
        <f>IF(W670=1,L670,((D670*G670/H670)-P670)/(1-V670)-S670-T670)</f>
        <v>468.2</v>
      </c>
      <c r="P670" s="16">
        <v>0</v>
      </c>
      <c r="Q670" s="16">
        <f>IF(U670=0,"0",O670*U670)</f>
        <v>156.73108852872187</v>
      </c>
      <c r="R670" s="17">
        <f>IF(U670=0,(((D670*G670/H670)-P670-S670-T670)/(1-V670)),(((D670*G670/H670)-P670-S670-T670)/(1-V670))-((D670*G670/H670)-P670-S670-T670)*U670/(1-V670))</f>
        <v>311.46891147127815</v>
      </c>
      <c r="S670" s="12">
        <v>0</v>
      </c>
      <c r="T670" s="12">
        <v>0</v>
      </c>
      <c r="U670" s="12">
        <v>0.334752431714485</v>
      </c>
      <c r="V670" s="12">
        <v>0</v>
      </c>
      <c r="W670" s="28">
        <f>IF(V670&gt;U670,1,V670)</f>
        <v>0</v>
      </c>
      <c r="X670" s="12">
        <v>1</v>
      </c>
      <c r="Y670" s="16">
        <v>0</v>
      </c>
      <c r="Z670" s="42" t="str">
        <f>IF(OR(W670=1,W670=0),"0",(Q670-N670))</f>
        <v>0</v>
      </c>
      <c r="AA670" s="53" t="s">
        <v>1998</v>
      </c>
      <c r="AB670" s="16" t="s">
        <v>2000</v>
      </c>
      <c r="AC670" s="16">
        <v>270.07</v>
      </c>
      <c r="AD670" s="16">
        <v>691.69</v>
      </c>
      <c r="AE670" s="16">
        <f>ROUND(AC670*100,0)</f>
        <v>27007</v>
      </c>
      <c r="AF670" s="16">
        <f>ROUND(AD670*100,0)</f>
        <v>69169</v>
      </c>
      <c r="AG670" s="19" t="str">
        <f>IF(AC670=AD670,"TAM",(CONCATENATE(AE670,"/",AF670)))</f>
        <v>27007/69169</v>
      </c>
      <c r="AH670" s="11" t="s">
        <v>50</v>
      </c>
      <c r="AI670" s="21" t="s">
        <v>50</v>
      </c>
      <c r="AJ670" s="21" t="s">
        <v>1999</v>
      </c>
      <c r="AK670" s="54" t="s">
        <v>50</v>
      </c>
      <c r="AL670" s="1" t="s">
        <v>50</v>
      </c>
    </row>
    <row r="671" spans="1:37" ht="102.75" customHeight="1">
      <c r="A671" s="43"/>
      <c r="B671" s="13"/>
      <c r="C671" s="13"/>
      <c r="D671" s="31"/>
      <c r="E671" s="34" t="s">
        <v>1997</v>
      </c>
      <c r="F671" s="14"/>
      <c r="G671" s="14"/>
      <c r="H671" s="14"/>
      <c r="I671" s="31"/>
      <c r="J671" s="31"/>
      <c r="K671" s="15"/>
      <c r="L671" s="15"/>
      <c r="M671" s="15"/>
      <c r="N671" s="15"/>
      <c r="O671" s="15"/>
      <c r="P671" s="14"/>
      <c r="Q671" s="14"/>
      <c r="R671" s="14"/>
      <c r="S671" s="14"/>
      <c r="T671" s="14"/>
      <c r="U671" s="14"/>
      <c r="V671" s="14"/>
      <c r="W671" s="14"/>
      <c r="X671" s="14"/>
      <c r="Y671" s="13"/>
      <c r="Z671" s="44"/>
      <c r="AA671" s="43"/>
      <c r="AB671" s="13"/>
      <c r="AC671" s="13"/>
      <c r="AD671" s="13"/>
      <c r="AE671" s="13"/>
      <c r="AF671" s="13"/>
      <c r="AG671" s="13"/>
      <c r="AH671" s="13"/>
      <c r="AI671" s="13"/>
      <c r="AJ671" s="13"/>
      <c r="AK671" s="44"/>
    </row>
    <row r="672" spans="1:38" ht="12.75" customHeight="1">
      <c r="A672" s="41">
        <v>15</v>
      </c>
      <c r="B672" s="10">
        <v>972</v>
      </c>
      <c r="C672" s="10" t="s">
        <v>2001</v>
      </c>
      <c r="D672" s="16">
        <v>1772.22</v>
      </c>
      <c r="E672" s="20" t="s">
        <v>2002</v>
      </c>
      <c r="F672" s="20" t="s">
        <v>2003</v>
      </c>
      <c r="G672" s="12">
        <v>1</v>
      </c>
      <c r="H672" s="12">
        <v>5</v>
      </c>
      <c r="I672" s="16">
        <f>ROUND(G672,0)</f>
        <v>1</v>
      </c>
      <c r="J672" s="16">
        <f>ROUND(H672,0)</f>
        <v>5</v>
      </c>
      <c r="K672" s="18" t="str">
        <f>IF(I672=J672,"TAM",(CONCATENATE(G672,"/",H672)))</f>
        <v>1/5</v>
      </c>
      <c r="L672" s="29">
        <f>1772.22*1/5</f>
        <v>354.444</v>
      </c>
      <c r="M672" s="30">
        <v>0</v>
      </c>
      <c r="N672" s="16" t="str">
        <f>IF(M672=0,"0",(O672*M672))</f>
        <v>0</v>
      </c>
      <c r="O672" s="16">
        <f>IF(W672=1,L672,((D672*G672/H672)-P672)/(1-V672)-S672-T672)</f>
        <v>117.68400000000003</v>
      </c>
      <c r="P672" s="16">
        <v>236.76</v>
      </c>
      <c r="Q672" s="16">
        <f>IF(U672=0,"0",O672*U672)</f>
        <v>39.39500517388746</v>
      </c>
      <c r="R672" s="17">
        <f>IF(U672=0,(((D672*G672/H672)-P672-S672-T672)/(1-V672)),(((D672*G672/H672)-P672-S672-T672)/(1-V672))-((D672*G672/H672)-P672-S672-T672)*U672/(1-V672))</f>
        <v>78.28899482611257</v>
      </c>
      <c r="S672" s="12">
        <v>0</v>
      </c>
      <c r="T672" s="12">
        <v>0</v>
      </c>
      <c r="U672" s="12">
        <v>0.334752431714485</v>
      </c>
      <c r="V672" s="12">
        <v>0</v>
      </c>
      <c r="W672" s="28">
        <f>IF(V672&gt;U672,1,V672)</f>
        <v>0</v>
      </c>
      <c r="X672" s="12">
        <v>1</v>
      </c>
      <c r="Y672" s="16">
        <v>0</v>
      </c>
      <c r="Z672" s="42" t="str">
        <f>IF(OR(W672=1,W672=0),"0",(Q672-N672))</f>
        <v>0</v>
      </c>
      <c r="AA672" s="53" t="s">
        <v>2004</v>
      </c>
      <c r="AB672" s="16" t="s">
        <v>2006</v>
      </c>
      <c r="AC672" s="16">
        <v>78.28</v>
      </c>
      <c r="AD672" s="16">
        <v>391.44</v>
      </c>
      <c r="AE672" s="16">
        <f>ROUND(AC672*100,0)</f>
        <v>7828</v>
      </c>
      <c r="AF672" s="16">
        <f>ROUND(AD672*100,0)</f>
        <v>39144</v>
      </c>
      <c r="AG672" s="19" t="str">
        <f>IF(AC672=AD672,"TAM",(CONCATENATE(AE672,"/",AF672)))</f>
        <v>7828/39144</v>
      </c>
      <c r="AH672" s="11" t="s">
        <v>50</v>
      </c>
      <c r="AI672" s="21" t="s">
        <v>50</v>
      </c>
      <c r="AJ672" s="21" t="s">
        <v>2005</v>
      </c>
      <c r="AK672" s="54" t="s">
        <v>50</v>
      </c>
      <c r="AL672" s="1" t="s">
        <v>50</v>
      </c>
    </row>
    <row r="673" spans="1:37" ht="12.75" customHeight="1">
      <c r="A673" s="43"/>
      <c r="B673" s="13"/>
      <c r="C673" s="13"/>
      <c r="D673" s="31"/>
      <c r="E673" s="14" t="s">
        <v>50</v>
      </c>
      <c r="F673" s="14"/>
      <c r="G673" s="14"/>
      <c r="H673" s="14"/>
      <c r="I673" s="31"/>
      <c r="J673" s="31"/>
      <c r="K673" s="15"/>
      <c r="L673" s="15"/>
      <c r="M673" s="15"/>
      <c r="N673" s="15"/>
      <c r="O673" s="15"/>
      <c r="P673" s="14"/>
      <c r="Q673" s="14"/>
      <c r="R673" s="14"/>
      <c r="S673" s="14"/>
      <c r="T673" s="14"/>
      <c r="U673" s="14"/>
      <c r="V673" s="14"/>
      <c r="W673" s="14"/>
      <c r="X673" s="14"/>
      <c r="Y673" s="13"/>
      <c r="Z673" s="44"/>
      <c r="AA673" s="43"/>
      <c r="AB673" s="13"/>
      <c r="AC673" s="13"/>
      <c r="AD673" s="13"/>
      <c r="AE673" s="13"/>
      <c r="AF673" s="13"/>
      <c r="AG673" s="13"/>
      <c r="AH673" s="13"/>
      <c r="AI673" s="13"/>
      <c r="AJ673" s="13"/>
      <c r="AK673" s="44"/>
    </row>
    <row r="674" spans="1:38" ht="12.75" customHeight="1">
      <c r="A674" s="41">
        <v>16</v>
      </c>
      <c r="B674" s="10">
        <v>972</v>
      </c>
      <c r="C674" s="10" t="s">
        <v>2007</v>
      </c>
      <c r="D674" s="16">
        <v>1772.22</v>
      </c>
      <c r="E674" s="20" t="s">
        <v>2008</v>
      </c>
      <c r="F674" s="20" t="s">
        <v>2009</v>
      </c>
      <c r="G674" s="12">
        <v>1</v>
      </c>
      <c r="H674" s="12">
        <v>5</v>
      </c>
      <c r="I674" s="16">
        <f>ROUND(G674,0)</f>
        <v>1</v>
      </c>
      <c r="J674" s="16">
        <f>ROUND(H674,0)</f>
        <v>5</v>
      </c>
      <c r="K674" s="18" t="str">
        <f>IF(I674=J674,"TAM",(CONCATENATE(G674,"/",H674)))</f>
        <v>1/5</v>
      </c>
      <c r="L674" s="29">
        <f>1772.22*1/5</f>
        <v>354.444</v>
      </c>
      <c r="M674" s="30">
        <v>0</v>
      </c>
      <c r="N674" s="16" t="str">
        <f>IF(M674=0,"0",(O674*M674))</f>
        <v>0</v>
      </c>
      <c r="O674" s="16">
        <f>IF(W674=1,L674,((D674*G674/H674)-P674)/(1-V674)-S674-T674)</f>
        <v>117.68400000000003</v>
      </c>
      <c r="P674" s="16">
        <v>236.76</v>
      </c>
      <c r="Q674" s="16">
        <f>IF(U674=0,"0",O674*U674)</f>
        <v>39.39500517388746</v>
      </c>
      <c r="R674" s="17">
        <f>IF(U674=0,(((D674*G674/H674)-P674-S674-T674)/(1-V674)),(((D674*G674/H674)-P674-S674-T674)/(1-V674))-((D674*G674/H674)-P674-S674-T674)*U674/(1-V674))</f>
        <v>78.28899482611257</v>
      </c>
      <c r="S674" s="12">
        <v>0</v>
      </c>
      <c r="T674" s="12">
        <v>0</v>
      </c>
      <c r="U674" s="12">
        <v>0.334752431714485</v>
      </c>
      <c r="V674" s="12">
        <v>0</v>
      </c>
      <c r="W674" s="28">
        <f>IF(V674&gt;U674,1,V674)</f>
        <v>0</v>
      </c>
      <c r="X674" s="12">
        <v>1</v>
      </c>
      <c r="Y674" s="16">
        <v>0</v>
      </c>
      <c r="Z674" s="42" t="str">
        <f>IF(OR(W674=1,W674=0),"0",(Q674-N674))</f>
        <v>0</v>
      </c>
      <c r="AA674" s="53" t="s">
        <v>2011</v>
      </c>
      <c r="AB674" s="16" t="s">
        <v>2013</v>
      </c>
      <c r="AC674" s="16">
        <v>78.29</v>
      </c>
      <c r="AD674" s="16">
        <v>391.44</v>
      </c>
      <c r="AE674" s="16">
        <f>ROUND(AC674*100,0)</f>
        <v>7829</v>
      </c>
      <c r="AF674" s="16">
        <f>ROUND(AD674*100,0)</f>
        <v>39144</v>
      </c>
      <c r="AG674" s="19" t="str">
        <f>IF(AC674=AD674,"TAM",(CONCATENATE(AE674,"/",AF674)))</f>
        <v>7829/39144</v>
      </c>
      <c r="AH674" s="11" t="s">
        <v>50</v>
      </c>
      <c r="AI674" s="21" t="s">
        <v>50</v>
      </c>
      <c r="AJ674" s="21" t="s">
        <v>2012</v>
      </c>
      <c r="AK674" s="54" t="s">
        <v>50</v>
      </c>
      <c r="AL674" s="1" t="s">
        <v>50</v>
      </c>
    </row>
    <row r="675" spans="1:37" ht="51.75" customHeight="1">
      <c r="A675" s="43"/>
      <c r="B675" s="13"/>
      <c r="C675" s="13"/>
      <c r="D675" s="31"/>
      <c r="E675" s="34" t="s">
        <v>2010</v>
      </c>
      <c r="F675" s="14"/>
      <c r="G675" s="14"/>
      <c r="H675" s="14"/>
      <c r="I675" s="31"/>
      <c r="J675" s="31"/>
      <c r="K675" s="15"/>
      <c r="L675" s="15"/>
      <c r="M675" s="15"/>
      <c r="N675" s="15"/>
      <c r="O675" s="15"/>
      <c r="P675" s="14"/>
      <c r="Q675" s="14"/>
      <c r="R675" s="14"/>
      <c r="S675" s="14"/>
      <c r="T675" s="14"/>
      <c r="U675" s="14"/>
      <c r="V675" s="14"/>
      <c r="W675" s="14"/>
      <c r="X675" s="14"/>
      <c r="Y675" s="13"/>
      <c r="Z675" s="44"/>
      <c r="AA675" s="43"/>
      <c r="AB675" s="13"/>
      <c r="AC675" s="13"/>
      <c r="AD675" s="13"/>
      <c r="AE675" s="13"/>
      <c r="AF675" s="13"/>
      <c r="AG675" s="13"/>
      <c r="AH675" s="13"/>
      <c r="AI675" s="13"/>
      <c r="AJ675" s="13"/>
      <c r="AK675" s="44"/>
    </row>
    <row r="676" spans="1:38" ht="12.75" customHeight="1">
      <c r="A676" s="41">
        <v>14</v>
      </c>
      <c r="B676" s="10">
        <v>972</v>
      </c>
      <c r="C676" s="10" t="s">
        <v>2014</v>
      </c>
      <c r="D676" s="16">
        <v>1772.22</v>
      </c>
      <c r="E676" s="20" t="s">
        <v>2015</v>
      </c>
      <c r="F676" s="20" t="s">
        <v>2016</v>
      </c>
      <c r="G676" s="12">
        <v>1</v>
      </c>
      <c r="H676" s="12">
        <v>5</v>
      </c>
      <c r="I676" s="16">
        <f>ROUND(G676,0)</f>
        <v>1</v>
      </c>
      <c r="J676" s="16">
        <f>ROUND(H676,0)</f>
        <v>5</v>
      </c>
      <c r="K676" s="18" t="str">
        <f>IF(I676=J676,"TAM",(CONCATENATE(G676,"/",H676)))</f>
        <v>1/5</v>
      </c>
      <c r="L676" s="29">
        <f>1772.22*1/5</f>
        <v>354.444</v>
      </c>
      <c r="M676" s="30">
        <v>0</v>
      </c>
      <c r="N676" s="16" t="str">
        <f>IF(M676=0,"0",(O676*M676))</f>
        <v>0</v>
      </c>
      <c r="O676" s="16">
        <f>IF(W676=1,L676,((D676*G676/H676)-P676)/(1-V676)-S676-T676)</f>
        <v>117.68400000000003</v>
      </c>
      <c r="P676" s="16">
        <v>236.76</v>
      </c>
      <c r="Q676" s="16">
        <f>IF(U676=0,"0",O676*U676)</f>
        <v>39.39500517388746</v>
      </c>
      <c r="R676" s="17">
        <f>IF(U676=0,(((D676*G676/H676)-P676-S676-T676)/(1-V676)),(((D676*G676/H676)-P676-S676-T676)/(1-V676))-((D676*G676/H676)-P676-S676-T676)*U676/(1-V676))</f>
        <v>78.28899482611257</v>
      </c>
      <c r="S676" s="12">
        <v>0</v>
      </c>
      <c r="T676" s="12">
        <v>0</v>
      </c>
      <c r="U676" s="12">
        <v>0.334752431714485</v>
      </c>
      <c r="V676" s="12">
        <v>0</v>
      </c>
      <c r="W676" s="28">
        <f>IF(V676&gt;U676,1,V676)</f>
        <v>0</v>
      </c>
      <c r="X676" s="12">
        <v>1</v>
      </c>
      <c r="Y676" s="16">
        <v>0</v>
      </c>
      <c r="Z676" s="42" t="str">
        <f>IF(OR(W676=1,W676=0),"0",(Q676-N676))</f>
        <v>0</v>
      </c>
      <c r="AA676" s="53" t="s">
        <v>2017</v>
      </c>
      <c r="AB676" s="16" t="s">
        <v>2019</v>
      </c>
      <c r="AC676" s="16">
        <v>78.29</v>
      </c>
      <c r="AD676" s="16">
        <v>391.44</v>
      </c>
      <c r="AE676" s="16">
        <f>ROUND(AC676*100,0)</f>
        <v>7829</v>
      </c>
      <c r="AF676" s="16">
        <f>ROUND(AD676*100,0)</f>
        <v>39144</v>
      </c>
      <c r="AG676" s="19" t="str">
        <f>IF(AC676=AD676,"TAM",(CONCATENATE(AE676,"/",AF676)))</f>
        <v>7829/39144</v>
      </c>
      <c r="AH676" s="11" t="s">
        <v>50</v>
      </c>
      <c r="AI676" s="21" t="s">
        <v>50</v>
      </c>
      <c r="AJ676" s="21" t="s">
        <v>2018</v>
      </c>
      <c r="AK676" s="54" t="s">
        <v>50</v>
      </c>
      <c r="AL676" s="1" t="s">
        <v>50</v>
      </c>
    </row>
    <row r="677" spans="1:37" ht="12.75" customHeight="1">
      <c r="A677" s="43"/>
      <c r="B677" s="13"/>
      <c r="C677" s="13"/>
      <c r="D677" s="31"/>
      <c r="E677" s="14" t="s">
        <v>50</v>
      </c>
      <c r="F677" s="14"/>
      <c r="G677" s="14"/>
      <c r="H677" s="14"/>
      <c r="I677" s="31"/>
      <c r="J677" s="31"/>
      <c r="K677" s="15"/>
      <c r="L677" s="15"/>
      <c r="M677" s="15"/>
      <c r="N677" s="15"/>
      <c r="O677" s="15"/>
      <c r="P677" s="14"/>
      <c r="Q677" s="14"/>
      <c r="R677" s="14"/>
      <c r="S677" s="14"/>
      <c r="T677" s="14"/>
      <c r="U677" s="14"/>
      <c r="V677" s="14"/>
      <c r="W677" s="14"/>
      <c r="X677" s="14"/>
      <c r="Y677" s="13"/>
      <c r="Z677" s="44"/>
      <c r="AA677" s="43"/>
      <c r="AB677" s="13"/>
      <c r="AC677" s="13"/>
      <c r="AD677" s="13"/>
      <c r="AE677" s="13"/>
      <c r="AF677" s="13"/>
      <c r="AG677" s="13"/>
      <c r="AH677" s="13"/>
      <c r="AI677" s="13"/>
      <c r="AJ677" s="13"/>
      <c r="AK677" s="44"/>
    </row>
    <row r="678" spans="1:38" ht="12.75" customHeight="1">
      <c r="A678" s="41">
        <v>13</v>
      </c>
      <c r="B678" s="10">
        <v>972</v>
      </c>
      <c r="C678" s="10" t="s">
        <v>2020</v>
      </c>
      <c r="D678" s="16">
        <v>1772.22</v>
      </c>
      <c r="E678" s="20" t="s">
        <v>2021</v>
      </c>
      <c r="F678" s="20" t="s">
        <v>2022</v>
      </c>
      <c r="G678" s="12">
        <v>1</v>
      </c>
      <c r="H678" s="12">
        <v>5</v>
      </c>
      <c r="I678" s="16">
        <f>ROUND(G678,0)</f>
        <v>1</v>
      </c>
      <c r="J678" s="16">
        <f>ROUND(H678,0)</f>
        <v>5</v>
      </c>
      <c r="K678" s="18" t="str">
        <f>IF(I678=J678,"TAM",(CONCATENATE(G678,"/",H678)))</f>
        <v>1/5</v>
      </c>
      <c r="L678" s="29">
        <f>1772.22*1/5</f>
        <v>354.444</v>
      </c>
      <c r="M678" s="30">
        <v>0</v>
      </c>
      <c r="N678" s="16" t="str">
        <f>IF(M678=0,"0",(O678*M678))</f>
        <v>0</v>
      </c>
      <c r="O678" s="16">
        <f>IF(W678=1,L678,((D678*G678/H678)-P678)/(1-V678)-S678-T678)</f>
        <v>117.68400000000003</v>
      </c>
      <c r="P678" s="16">
        <v>236.76</v>
      </c>
      <c r="Q678" s="16">
        <f>IF(U678=0,"0",O678*U678)</f>
        <v>39.39500517388746</v>
      </c>
      <c r="R678" s="17">
        <f>IF(U678=0,(((D678*G678/H678)-P678-S678-T678)/(1-V678)),(((D678*G678/H678)-P678-S678-T678)/(1-V678))-((D678*G678/H678)-P678-S678-T678)*U678/(1-V678))</f>
        <v>78.28899482611257</v>
      </c>
      <c r="S678" s="12">
        <v>0</v>
      </c>
      <c r="T678" s="12">
        <v>0</v>
      </c>
      <c r="U678" s="12">
        <v>0.334752431714485</v>
      </c>
      <c r="V678" s="12">
        <v>0</v>
      </c>
      <c r="W678" s="28">
        <f>IF(V678&gt;U678,1,V678)</f>
        <v>0</v>
      </c>
      <c r="X678" s="12">
        <v>1</v>
      </c>
      <c r="Y678" s="16">
        <v>0</v>
      </c>
      <c r="Z678" s="42" t="str">
        <f>IF(OR(W678=1,W678=0),"0",(Q678-N678))</f>
        <v>0</v>
      </c>
      <c r="AA678" s="53" t="s">
        <v>2023</v>
      </c>
      <c r="AB678" s="16" t="s">
        <v>2025</v>
      </c>
      <c r="AC678" s="16">
        <v>78.29</v>
      </c>
      <c r="AD678" s="16">
        <v>391.44</v>
      </c>
      <c r="AE678" s="16">
        <f>ROUND(AC678*100,0)</f>
        <v>7829</v>
      </c>
      <c r="AF678" s="16">
        <f>ROUND(AD678*100,0)</f>
        <v>39144</v>
      </c>
      <c r="AG678" s="19" t="str">
        <f>IF(AC678=AD678,"TAM",(CONCATENATE(AE678,"/",AF678)))</f>
        <v>7829/39144</v>
      </c>
      <c r="AH678" s="11" t="s">
        <v>50</v>
      </c>
      <c r="AI678" s="21" t="s">
        <v>50</v>
      </c>
      <c r="AJ678" s="21" t="s">
        <v>2024</v>
      </c>
      <c r="AK678" s="54" t="s">
        <v>50</v>
      </c>
      <c r="AL678" s="1" t="s">
        <v>50</v>
      </c>
    </row>
    <row r="679" spans="1:37" ht="12.75" customHeight="1">
      <c r="A679" s="43"/>
      <c r="B679" s="13"/>
      <c r="C679" s="13"/>
      <c r="D679" s="31"/>
      <c r="E679" s="14" t="s">
        <v>50</v>
      </c>
      <c r="F679" s="14"/>
      <c r="G679" s="14"/>
      <c r="H679" s="14"/>
      <c r="I679" s="31"/>
      <c r="J679" s="31"/>
      <c r="K679" s="15"/>
      <c r="L679" s="15"/>
      <c r="M679" s="15"/>
      <c r="N679" s="15"/>
      <c r="O679" s="15"/>
      <c r="P679" s="14"/>
      <c r="Q679" s="14"/>
      <c r="R679" s="14"/>
      <c r="S679" s="14"/>
      <c r="T679" s="14"/>
      <c r="U679" s="14"/>
      <c r="V679" s="14"/>
      <c r="W679" s="14"/>
      <c r="X679" s="14"/>
      <c r="Y679" s="13"/>
      <c r="Z679" s="44"/>
      <c r="AA679" s="43"/>
      <c r="AB679" s="13"/>
      <c r="AC679" s="13"/>
      <c r="AD679" s="13"/>
      <c r="AE679" s="13"/>
      <c r="AF679" s="13"/>
      <c r="AG679" s="13"/>
      <c r="AH679" s="13"/>
      <c r="AI679" s="13"/>
      <c r="AJ679" s="13"/>
      <c r="AK679" s="44"/>
    </row>
    <row r="680" spans="1:38" ht="12.75" customHeight="1">
      <c r="A680" s="41">
        <v>22</v>
      </c>
      <c r="B680" s="10">
        <v>972</v>
      </c>
      <c r="C680" s="10" t="s">
        <v>2026</v>
      </c>
      <c r="D680" s="16">
        <v>1772.22</v>
      </c>
      <c r="E680" s="20" t="s">
        <v>2027</v>
      </c>
      <c r="F680" s="20" t="s">
        <v>2028</v>
      </c>
      <c r="G680" s="12">
        <v>1</v>
      </c>
      <c r="H680" s="12">
        <v>5</v>
      </c>
      <c r="I680" s="16">
        <f>ROUND(G680,0)</f>
        <v>1</v>
      </c>
      <c r="J680" s="16">
        <f>ROUND(H680,0)</f>
        <v>5</v>
      </c>
      <c r="K680" s="18" t="str">
        <f>IF(I680=J680,"TAM",(CONCATENATE(G680,"/",H680)))</f>
        <v>1/5</v>
      </c>
      <c r="L680" s="29">
        <f>1772.22*1/5</f>
        <v>354.444</v>
      </c>
      <c r="M680" s="30">
        <v>0</v>
      </c>
      <c r="N680" s="16" t="str">
        <f>IF(M680=0,"0",(O680*M680))</f>
        <v>0</v>
      </c>
      <c r="O680" s="16">
        <f>IF(W680=1,L680,((D680*G680/H680)-P680)/(1-V680)-S680-T680)</f>
        <v>117.68400000000003</v>
      </c>
      <c r="P680" s="16">
        <v>236.76</v>
      </c>
      <c r="Q680" s="16">
        <f>IF(U680=0,"0",O680*U680)</f>
        <v>39.39500517388746</v>
      </c>
      <c r="R680" s="17">
        <f>IF(U680=0,(((D680*G680/H680)-P680-S680-T680)/(1-V680)),(((D680*G680/H680)-P680-S680-T680)/(1-V680))-((D680*G680/H680)-P680-S680-T680)*U680/(1-V680))</f>
        <v>78.28899482611257</v>
      </c>
      <c r="S680" s="12">
        <v>0</v>
      </c>
      <c r="T680" s="12">
        <v>0</v>
      </c>
      <c r="U680" s="12">
        <v>0.334752431714485</v>
      </c>
      <c r="V680" s="12">
        <v>0</v>
      </c>
      <c r="W680" s="28">
        <f>IF(V680&gt;U680,1,V680)</f>
        <v>0</v>
      </c>
      <c r="X680" s="12">
        <v>1</v>
      </c>
      <c r="Y680" s="16">
        <v>0</v>
      </c>
      <c r="Z680" s="42" t="str">
        <f>IF(OR(W680=1,W680=0),"0",(Q680-N680))</f>
        <v>0</v>
      </c>
      <c r="AA680" s="53" t="s">
        <v>2030</v>
      </c>
      <c r="AB680" s="16" t="s">
        <v>2032</v>
      </c>
      <c r="AC680" s="16">
        <v>78.29</v>
      </c>
      <c r="AD680" s="16">
        <v>391.44</v>
      </c>
      <c r="AE680" s="16">
        <f>ROUND(AC680*100,0)</f>
        <v>7829</v>
      </c>
      <c r="AF680" s="16">
        <f>ROUND(AD680*100,0)</f>
        <v>39144</v>
      </c>
      <c r="AG680" s="19" t="str">
        <f>IF(AC680=AD680,"TAM",(CONCATENATE(AE680,"/",AF680)))</f>
        <v>7829/39144</v>
      </c>
      <c r="AH680" s="11" t="s">
        <v>50</v>
      </c>
      <c r="AI680" s="21" t="s">
        <v>50</v>
      </c>
      <c r="AJ680" s="21" t="s">
        <v>2031</v>
      </c>
      <c r="AK680" s="54" t="s">
        <v>50</v>
      </c>
      <c r="AL680" s="1" t="s">
        <v>50</v>
      </c>
    </row>
    <row r="681" spans="1:37" ht="42" customHeight="1">
      <c r="A681" s="43"/>
      <c r="B681" s="13"/>
      <c r="C681" s="13"/>
      <c r="D681" s="31"/>
      <c r="E681" s="34" t="s">
        <v>2029</v>
      </c>
      <c r="F681" s="14"/>
      <c r="G681" s="14"/>
      <c r="H681" s="14"/>
      <c r="I681" s="31"/>
      <c r="J681" s="31"/>
      <c r="K681" s="15"/>
      <c r="L681" s="15"/>
      <c r="M681" s="15"/>
      <c r="N681" s="15"/>
      <c r="O681" s="15"/>
      <c r="P681" s="14"/>
      <c r="Q681" s="14"/>
      <c r="R681" s="14"/>
      <c r="S681" s="14"/>
      <c r="T681" s="14"/>
      <c r="U681" s="14"/>
      <c r="V681" s="14"/>
      <c r="W681" s="14"/>
      <c r="X681" s="14"/>
      <c r="Y681" s="13"/>
      <c r="Z681" s="44"/>
      <c r="AA681" s="43"/>
      <c r="AB681" s="13"/>
      <c r="AC681" s="13"/>
      <c r="AD681" s="13"/>
      <c r="AE681" s="13"/>
      <c r="AF681" s="13"/>
      <c r="AG681" s="13"/>
      <c r="AH681" s="13"/>
      <c r="AI681" s="13"/>
      <c r="AJ681" s="13"/>
      <c r="AK681" s="44"/>
    </row>
    <row r="682" spans="1:38" ht="12.75" customHeight="1">
      <c r="A682" s="41">
        <v>274</v>
      </c>
      <c r="B682" s="10">
        <v>1083</v>
      </c>
      <c r="C682" s="10" t="s">
        <v>2033</v>
      </c>
      <c r="D682" s="16">
        <v>726.64</v>
      </c>
      <c r="E682" s="20" t="s">
        <v>2034</v>
      </c>
      <c r="F682" s="20" t="s">
        <v>2035</v>
      </c>
      <c r="G682" s="12">
        <v>1</v>
      </c>
      <c r="H682" s="12">
        <v>1</v>
      </c>
      <c r="I682" s="16">
        <f>ROUND(G682,0)</f>
        <v>1</v>
      </c>
      <c r="J682" s="16">
        <f>ROUND(H682,0)</f>
        <v>1</v>
      </c>
      <c r="K682" s="18" t="str">
        <f>IF(I682=J682,"TAM",(CONCATENATE(G682,"/",H682)))</f>
        <v>TAM</v>
      </c>
      <c r="L682" s="29">
        <f>726.64*1/1</f>
        <v>726.64</v>
      </c>
      <c r="M682" s="30">
        <v>0</v>
      </c>
      <c r="N682" s="16" t="str">
        <f>IF(M682=0,"0",(O682*M682))</f>
        <v>0</v>
      </c>
      <c r="O682" s="16">
        <f>IF(W682=1,L682,((D682*G682/H682)-P682)/(1-V682)-S682-T682)</f>
        <v>726.64</v>
      </c>
      <c r="P682" s="16">
        <v>0</v>
      </c>
      <c r="Q682" s="16">
        <f>IF(U682=0,"0",O682*U682)</f>
        <v>243.24450698101336</v>
      </c>
      <c r="R682" s="17">
        <f>IF(U682=0,(((D682*G682/H682)-P682-S682-T682)/(1-V682)),(((D682*G682/H682)-P682-S682-T682)/(1-V682))-((D682*G682/H682)-P682-S682-T682)*U682/(1-V682))</f>
        <v>483.3954930189866</v>
      </c>
      <c r="S682" s="12">
        <v>0</v>
      </c>
      <c r="T682" s="12">
        <v>0</v>
      </c>
      <c r="U682" s="12">
        <v>0.334752431714485</v>
      </c>
      <c r="V682" s="12">
        <v>0</v>
      </c>
      <c r="W682" s="28">
        <f>IF(V682&gt;U682,1,V682)</f>
        <v>0</v>
      </c>
      <c r="X682" s="12">
        <v>1</v>
      </c>
      <c r="Y682" s="16">
        <v>0</v>
      </c>
      <c r="Z682" s="42" t="str">
        <f>IF(OR(W682=1,W682=0),"0",(Q682-N682))</f>
        <v>0</v>
      </c>
      <c r="AA682" s="53" t="s">
        <v>2036</v>
      </c>
      <c r="AB682" s="16" t="s">
        <v>2038</v>
      </c>
      <c r="AC682" s="16">
        <v>483.4</v>
      </c>
      <c r="AD682" s="16">
        <v>483.4</v>
      </c>
      <c r="AE682" s="16">
        <f>ROUND(AC682*100,0)</f>
        <v>48340</v>
      </c>
      <c r="AF682" s="16">
        <f>ROUND(AD682*100,0)</f>
        <v>48340</v>
      </c>
      <c r="AG682" s="19" t="str">
        <f>IF(AC682=AD682,"TAM",(CONCATENATE(AE682,"/",AF682)))</f>
        <v>TAM</v>
      </c>
      <c r="AH682" s="11" t="s">
        <v>50</v>
      </c>
      <c r="AI682" s="21" t="s">
        <v>50</v>
      </c>
      <c r="AJ682" s="21" t="s">
        <v>2037</v>
      </c>
      <c r="AK682" s="54" t="s">
        <v>50</v>
      </c>
      <c r="AL682" s="1" t="s">
        <v>50</v>
      </c>
    </row>
    <row r="683" spans="1:37" ht="12.75" customHeight="1">
      <c r="A683" s="43"/>
      <c r="B683" s="13"/>
      <c r="C683" s="13"/>
      <c r="D683" s="31"/>
      <c r="E683" s="14" t="s">
        <v>50</v>
      </c>
      <c r="F683" s="14"/>
      <c r="G683" s="14"/>
      <c r="H683" s="14"/>
      <c r="I683" s="31"/>
      <c r="J683" s="31"/>
      <c r="K683" s="15"/>
      <c r="L683" s="15"/>
      <c r="M683" s="15"/>
      <c r="N683" s="15"/>
      <c r="O683" s="15"/>
      <c r="P683" s="14"/>
      <c r="Q683" s="14"/>
      <c r="R683" s="14"/>
      <c r="S683" s="14"/>
      <c r="T683" s="14"/>
      <c r="U683" s="14"/>
      <c r="V683" s="14"/>
      <c r="W683" s="14"/>
      <c r="X683" s="14"/>
      <c r="Y683" s="13"/>
      <c r="Z683" s="44"/>
      <c r="AA683" s="43"/>
      <c r="AB683" s="13"/>
      <c r="AC683" s="13"/>
      <c r="AD683" s="13"/>
      <c r="AE683" s="13"/>
      <c r="AF683" s="13"/>
      <c r="AG683" s="13"/>
      <c r="AH683" s="13"/>
      <c r="AI683" s="13"/>
      <c r="AJ683" s="13"/>
      <c r="AK683" s="44"/>
    </row>
    <row r="684" spans="1:38" ht="12.75" customHeight="1">
      <c r="A684" s="41">
        <v>286</v>
      </c>
      <c r="B684" s="10">
        <v>1085</v>
      </c>
      <c r="C684" s="10" t="s">
        <v>2039</v>
      </c>
      <c r="D684" s="16">
        <v>180.44</v>
      </c>
      <c r="E684" s="20" t="s">
        <v>2040</v>
      </c>
      <c r="F684" s="20" t="s">
        <v>2041</v>
      </c>
      <c r="G684" s="12">
        <v>1</v>
      </c>
      <c r="H684" s="12">
        <v>1</v>
      </c>
      <c r="I684" s="16">
        <f>ROUND(G684,0)</f>
        <v>1</v>
      </c>
      <c r="J684" s="16">
        <f>ROUND(H684,0)</f>
        <v>1</v>
      </c>
      <c r="K684" s="18" t="str">
        <f>IF(I684=J684,"TAM",(CONCATENATE(G684,"/",H684)))</f>
        <v>TAM</v>
      </c>
      <c r="L684" s="29">
        <f>180.44*1/1</f>
        <v>180.44</v>
      </c>
      <c r="M684" s="30">
        <v>0</v>
      </c>
      <c r="N684" s="16" t="str">
        <f>IF(M684=0,"0",(O684*M684))</f>
        <v>0</v>
      </c>
      <c r="O684" s="16">
        <f>IF(W684=1,L684,((D684*G684/H684)-P684)/(1-V684)-S684-T684)</f>
        <v>180.44</v>
      </c>
      <c r="P684" s="16">
        <v>0</v>
      </c>
      <c r="Q684" s="16">
        <f>IF(U684=0,"0",O684*U684)</f>
        <v>60.40272877856167</v>
      </c>
      <c r="R684" s="17">
        <f>IF(U684=0,(((D684*G684/H684)-P684-S684-T684)/(1-V684)),(((D684*G684/H684)-P684-S684-T684)/(1-V684))-((D684*G684/H684)-P684-S684-T684)*U684/(1-V684))</f>
        <v>120.03727122143832</v>
      </c>
      <c r="S684" s="12">
        <v>0</v>
      </c>
      <c r="T684" s="12">
        <v>0</v>
      </c>
      <c r="U684" s="12">
        <v>0.334752431714485</v>
      </c>
      <c r="V684" s="12">
        <v>0</v>
      </c>
      <c r="W684" s="28">
        <f>IF(V684&gt;U684,1,V684)</f>
        <v>0</v>
      </c>
      <c r="X684" s="12">
        <v>1</v>
      </c>
      <c r="Y684" s="16">
        <v>0</v>
      </c>
      <c r="Z684" s="42" t="str">
        <f>IF(OR(W684=1,W684=0),"0",(Q684-N684))</f>
        <v>0</v>
      </c>
      <c r="AA684" s="53" t="s">
        <v>2042</v>
      </c>
      <c r="AB684" s="16" t="s">
        <v>2044</v>
      </c>
      <c r="AC684" s="16">
        <v>120.04</v>
      </c>
      <c r="AD684" s="16">
        <v>602.56</v>
      </c>
      <c r="AE684" s="16">
        <f>ROUND(AC684*100,0)</f>
        <v>12004</v>
      </c>
      <c r="AF684" s="16">
        <f>ROUND(AD684*100,0)</f>
        <v>60256</v>
      </c>
      <c r="AG684" s="19" t="str">
        <f>IF(AC684=AD684,"TAM",(CONCATENATE(AE684,"/",AF684)))</f>
        <v>12004/60256</v>
      </c>
      <c r="AH684" s="11" t="s">
        <v>50</v>
      </c>
      <c r="AI684" s="21" t="s">
        <v>50</v>
      </c>
      <c r="AJ684" s="21" t="s">
        <v>2043</v>
      </c>
      <c r="AK684" s="54" t="s">
        <v>50</v>
      </c>
      <c r="AL684" s="1" t="s">
        <v>50</v>
      </c>
    </row>
    <row r="685" spans="1:37" ht="12.75" customHeight="1">
      <c r="A685" s="43"/>
      <c r="B685" s="13"/>
      <c r="C685" s="13"/>
      <c r="D685" s="31"/>
      <c r="E685" s="14" t="s">
        <v>50</v>
      </c>
      <c r="F685" s="14"/>
      <c r="G685" s="14"/>
      <c r="H685" s="14"/>
      <c r="I685" s="31"/>
      <c r="J685" s="31"/>
      <c r="K685" s="15"/>
      <c r="L685" s="15"/>
      <c r="M685" s="15"/>
      <c r="N685" s="15"/>
      <c r="O685" s="15"/>
      <c r="P685" s="14"/>
      <c r="Q685" s="14"/>
      <c r="R685" s="14"/>
      <c r="S685" s="14"/>
      <c r="T685" s="14"/>
      <c r="U685" s="14"/>
      <c r="V685" s="14"/>
      <c r="W685" s="14"/>
      <c r="X685" s="14"/>
      <c r="Y685" s="13"/>
      <c r="Z685" s="44"/>
      <c r="AA685" s="43"/>
      <c r="AB685" s="13"/>
      <c r="AC685" s="13"/>
      <c r="AD685" s="13"/>
      <c r="AE685" s="13"/>
      <c r="AF685" s="13"/>
      <c r="AG685" s="13"/>
      <c r="AH685" s="13"/>
      <c r="AI685" s="13"/>
      <c r="AJ685" s="13"/>
      <c r="AK685" s="44"/>
    </row>
    <row r="686" spans="1:38" ht="12.75" customHeight="1">
      <c r="A686" s="41">
        <v>287</v>
      </c>
      <c r="B686" s="10">
        <v>1086</v>
      </c>
      <c r="C686" s="10" t="s">
        <v>2045</v>
      </c>
      <c r="D686" s="16">
        <v>161.88</v>
      </c>
      <c r="E686" s="20" t="s">
        <v>2046</v>
      </c>
      <c r="F686" s="20" t="s">
        <v>2047</v>
      </c>
      <c r="G686" s="12">
        <v>1</v>
      </c>
      <c r="H686" s="12">
        <v>1</v>
      </c>
      <c r="I686" s="16">
        <f>ROUND(G686,0)</f>
        <v>1</v>
      </c>
      <c r="J686" s="16">
        <f>ROUND(H686,0)</f>
        <v>1</v>
      </c>
      <c r="K686" s="18" t="str">
        <f>IF(I686=J686,"TAM",(CONCATENATE(G686,"/",H686)))</f>
        <v>TAM</v>
      </c>
      <c r="L686" s="29">
        <f>161.88*1/1</f>
        <v>161.88</v>
      </c>
      <c r="M686" s="30">
        <v>0</v>
      </c>
      <c r="N686" s="16" t="str">
        <f>IF(M686=0,"0",(O686*M686))</f>
        <v>0</v>
      </c>
      <c r="O686" s="16">
        <f>IF(W686=1,L686,((D686*G686/H686)-P686)/(1-V686)-S686-T686)</f>
        <v>161.88</v>
      </c>
      <c r="P686" s="16">
        <v>0</v>
      </c>
      <c r="Q686" s="16">
        <f>IF(U686=0,"0",O686*U686)</f>
        <v>54.18972364594083</v>
      </c>
      <c r="R686" s="17">
        <f>IF(U686=0,(((D686*G686/H686)-P686-S686-T686)/(1-V686)),(((D686*G686/H686)-P686-S686-T686)/(1-V686))-((D686*G686/H686)-P686-S686-T686)*U686/(1-V686))</f>
        <v>107.69027635405916</v>
      </c>
      <c r="S686" s="12">
        <v>0</v>
      </c>
      <c r="T686" s="12">
        <v>0</v>
      </c>
      <c r="U686" s="12">
        <v>0.334752431714485</v>
      </c>
      <c r="V686" s="12">
        <v>0</v>
      </c>
      <c r="W686" s="28">
        <f>IF(V686&gt;U686,1,V686)</f>
        <v>0</v>
      </c>
      <c r="X686" s="12">
        <v>1</v>
      </c>
      <c r="Y686" s="16">
        <v>0</v>
      </c>
      <c r="Z686" s="42" t="str">
        <f>IF(OR(W686=1,W686=0),"0",(Q686-N686))</f>
        <v>0</v>
      </c>
      <c r="AA686" s="53" t="s">
        <v>2049</v>
      </c>
      <c r="AB686" s="16" t="s">
        <v>2051</v>
      </c>
      <c r="AC686" s="16">
        <v>107.69</v>
      </c>
      <c r="AD686" s="16">
        <v>602.56</v>
      </c>
      <c r="AE686" s="16">
        <f>ROUND(AC686*100,0)</f>
        <v>10769</v>
      </c>
      <c r="AF686" s="16">
        <f>ROUND(AD686*100,0)</f>
        <v>60256</v>
      </c>
      <c r="AG686" s="19" t="str">
        <f>IF(AC686=AD686,"TAM",(CONCATENATE(AE686,"/",AF686)))</f>
        <v>10769/60256</v>
      </c>
      <c r="AH686" s="11" t="s">
        <v>50</v>
      </c>
      <c r="AI686" s="21" t="s">
        <v>50</v>
      </c>
      <c r="AJ686" s="21" t="s">
        <v>2050</v>
      </c>
      <c r="AK686" s="54" t="s">
        <v>50</v>
      </c>
      <c r="AL686" s="1" t="s">
        <v>50</v>
      </c>
    </row>
    <row r="687" spans="1:37" ht="20.25" customHeight="1">
      <c r="A687" s="43"/>
      <c r="B687" s="13"/>
      <c r="C687" s="13"/>
      <c r="D687" s="31"/>
      <c r="E687" s="34" t="s">
        <v>2048</v>
      </c>
      <c r="F687" s="14"/>
      <c r="G687" s="14"/>
      <c r="H687" s="14"/>
      <c r="I687" s="31"/>
      <c r="J687" s="31"/>
      <c r="K687" s="15"/>
      <c r="L687" s="15"/>
      <c r="M687" s="15"/>
      <c r="N687" s="15"/>
      <c r="O687" s="15"/>
      <c r="P687" s="14"/>
      <c r="Q687" s="14"/>
      <c r="R687" s="14"/>
      <c r="S687" s="14"/>
      <c r="T687" s="14"/>
      <c r="U687" s="14"/>
      <c r="V687" s="14"/>
      <c r="W687" s="14"/>
      <c r="X687" s="14"/>
      <c r="Y687" s="13"/>
      <c r="Z687" s="44"/>
      <c r="AA687" s="43"/>
      <c r="AB687" s="13"/>
      <c r="AC687" s="13"/>
      <c r="AD687" s="13"/>
      <c r="AE687" s="13"/>
      <c r="AF687" s="13"/>
      <c r="AG687" s="13"/>
      <c r="AH687" s="13"/>
      <c r="AI687" s="13"/>
      <c r="AJ687" s="13"/>
      <c r="AK687" s="44"/>
    </row>
    <row r="688" spans="1:38" ht="12.75" customHeight="1">
      <c r="A688" s="41">
        <v>454</v>
      </c>
      <c r="B688" s="10">
        <v>1137</v>
      </c>
      <c r="C688" s="10" t="s">
        <v>2052</v>
      </c>
      <c r="D688" s="16">
        <v>1635.97</v>
      </c>
      <c r="E688" s="20" t="s">
        <v>2053</v>
      </c>
      <c r="F688" s="20" t="s">
        <v>2054</v>
      </c>
      <c r="G688" s="12">
        <v>1</v>
      </c>
      <c r="H688" s="12">
        <v>3</v>
      </c>
      <c r="I688" s="16">
        <f>ROUND(G688,0)</f>
        <v>1</v>
      </c>
      <c r="J688" s="16">
        <f>ROUND(H688,0)</f>
        <v>3</v>
      </c>
      <c r="K688" s="18" t="str">
        <f>IF(I688=J688,"TAM",(CONCATENATE(G688,"/",H688)))</f>
        <v>1/3</v>
      </c>
      <c r="L688" s="29">
        <f>1635.97*1/3</f>
        <v>545.3233333333333</v>
      </c>
      <c r="M688" s="30">
        <v>0</v>
      </c>
      <c r="N688" s="16" t="str">
        <f>IF(M688=0,"0",(O688*M688))</f>
        <v>0</v>
      </c>
      <c r="O688" s="16">
        <f>IF(W688=1,L688,((D688*G688/H688)-P688)/(1-V688)-S688-T688)</f>
        <v>545.3233333333334</v>
      </c>
      <c r="P688" s="16">
        <v>0</v>
      </c>
      <c r="Q688" s="16">
        <f>IF(U688=0,"0",O688*U688)</f>
        <v>182.548311903982</v>
      </c>
      <c r="R688" s="17">
        <f>IF(U688=0,(((D688*G688/H688)-P688-S688-T688)/(1-V688)),(((D688*G688/H688)-P688-S688-T688)/(1-V688))-((D688*G688/H688)-P688-S688-T688)*U688/(1-V688))</f>
        <v>362.77502142935134</v>
      </c>
      <c r="S688" s="12">
        <v>0</v>
      </c>
      <c r="T688" s="12">
        <v>0</v>
      </c>
      <c r="U688" s="12">
        <v>0.334752431714485</v>
      </c>
      <c r="V688" s="12">
        <v>0</v>
      </c>
      <c r="W688" s="28">
        <f>IF(V688&gt;U688,1,V688)</f>
        <v>0</v>
      </c>
      <c r="X688" s="12">
        <v>1</v>
      </c>
      <c r="Y688" s="16">
        <v>0</v>
      </c>
      <c r="Z688" s="42" t="str">
        <f>IF(OR(W688=1,W688=0),"0",(Q688-N688))</f>
        <v>0</v>
      </c>
      <c r="AA688" s="53" t="s">
        <v>2055</v>
      </c>
      <c r="AB688" s="16" t="s">
        <v>2057</v>
      </c>
      <c r="AC688" s="16">
        <v>124.95</v>
      </c>
      <c r="AD688" s="16">
        <v>602.56</v>
      </c>
      <c r="AE688" s="16">
        <f>ROUND(AC688*100,0)</f>
        <v>12495</v>
      </c>
      <c r="AF688" s="16">
        <f>ROUND(AD688*100,0)</f>
        <v>60256</v>
      </c>
      <c r="AG688" s="19" t="str">
        <f>IF(AC688=AD688,"TAM",(CONCATENATE(AE688,"/",AF688)))</f>
        <v>12495/60256</v>
      </c>
      <c r="AH688" s="11" t="s">
        <v>50</v>
      </c>
      <c r="AI688" s="21" t="s">
        <v>50</v>
      </c>
      <c r="AJ688" s="21" t="s">
        <v>2056</v>
      </c>
      <c r="AK688" s="54" t="s">
        <v>50</v>
      </c>
      <c r="AL688" s="1" t="s">
        <v>50</v>
      </c>
    </row>
    <row r="689" spans="1:37" ht="12.75" customHeight="1">
      <c r="A689" s="43"/>
      <c r="B689" s="13"/>
      <c r="C689" s="13"/>
      <c r="D689" s="31"/>
      <c r="E689" s="14" t="s">
        <v>50</v>
      </c>
      <c r="F689" s="14"/>
      <c r="G689" s="14"/>
      <c r="H689" s="14"/>
      <c r="I689" s="31"/>
      <c r="J689" s="31"/>
      <c r="K689" s="15"/>
      <c r="L689" s="15"/>
      <c r="M689" s="15"/>
      <c r="N689" s="15"/>
      <c r="O689" s="15"/>
      <c r="P689" s="14"/>
      <c r="Q689" s="14"/>
      <c r="R689" s="14"/>
      <c r="S689" s="14"/>
      <c r="T689" s="14"/>
      <c r="U689" s="14"/>
      <c r="V689" s="14"/>
      <c r="W689" s="14"/>
      <c r="X689" s="14"/>
      <c r="Y689" s="13"/>
      <c r="Z689" s="44"/>
      <c r="AA689" s="43"/>
      <c r="AB689" s="13"/>
      <c r="AC689" s="13"/>
      <c r="AD689" s="13"/>
      <c r="AE689" s="13"/>
      <c r="AF689" s="13"/>
      <c r="AG689" s="13"/>
      <c r="AH689" s="13"/>
      <c r="AI689" s="13"/>
      <c r="AJ689" s="13"/>
      <c r="AK689" s="44"/>
    </row>
    <row r="690" spans="1:38" ht="12.75" customHeight="1">
      <c r="A690" s="41">
        <v>452</v>
      </c>
      <c r="B690" s="10">
        <v>1137</v>
      </c>
      <c r="C690" s="10" t="s">
        <v>2058</v>
      </c>
      <c r="D690" s="16">
        <v>1635.97</v>
      </c>
      <c r="E690" s="20" t="s">
        <v>2059</v>
      </c>
      <c r="F690" s="20" t="s">
        <v>2060</v>
      </c>
      <c r="G690" s="12">
        <v>1</v>
      </c>
      <c r="H690" s="12">
        <v>3</v>
      </c>
      <c r="I690" s="16">
        <f>ROUND(G690,0)</f>
        <v>1</v>
      </c>
      <c r="J690" s="16">
        <f>ROUND(H690,0)</f>
        <v>3</v>
      </c>
      <c r="K690" s="18" t="str">
        <f>IF(I690=J690,"TAM",(CONCATENATE(G690,"/",H690)))</f>
        <v>1/3</v>
      </c>
      <c r="L690" s="29">
        <f>1635.97*1/3</f>
        <v>545.3233333333333</v>
      </c>
      <c r="M690" s="30">
        <v>0</v>
      </c>
      <c r="N690" s="16" t="str">
        <f>IF(M690=0,"0",(O690*M690))</f>
        <v>0</v>
      </c>
      <c r="O690" s="16">
        <f>IF(W690=1,L690,((D690*G690/H690)-P690)/(1-V690)-S690-T690)</f>
        <v>545.3233333333334</v>
      </c>
      <c r="P690" s="16">
        <v>0</v>
      </c>
      <c r="Q690" s="16">
        <f>IF(U690=0,"0",O690*U690)</f>
        <v>182.548311903982</v>
      </c>
      <c r="R690" s="17">
        <f>IF(U690=0,(((D690*G690/H690)-P690-S690-T690)/(1-V690)),(((D690*G690/H690)-P690-S690-T690)/(1-V690))-((D690*G690/H690)-P690-S690-T690)*U690/(1-V690))</f>
        <v>362.77502142935134</v>
      </c>
      <c r="S690" s="12">
        <v>0</v>
      </c>
      <c r="T690" s="12">
        <v>0</v>
      </c>
      <c r="U690" s="12">
        <v>0.334752431714485</v>
      </c>
      <c r="V690" s="12">
        <v>0</v>
      </c>
      <c r="W690" s="28">
        <f>IF(V690&gt;U690,1,V690)</f>
        <v>0</v>
      </c>
      <c r="X690" s="12">
        <v>1</v>
      </c>
      <c r="Y690" s="16">
        <v>0</v>
      </c>
      <c r="Z690" s="42" t="str">
        <f>IF(OR(W690=1,W690=0),"0",(Q690-N690))</f>
        <v>0</v>
      </c>
      <c r="AA690" s="53" t="s">
        <v>2061</v>
      </c>
      <c r="AB690" s="16" t="s">
        <v>2063</v>
      </c>
      <c r="AC690" s="16">
        <v>124.94</v>
      </c>
      <c r="AD690" s="16">
        <v>602.56</v>
      </c>
      <c r="AE690" s="16">
        <f>ROUND(AC690*100,0)</f>
        <v>12494</v>
      </c>
      <c r="AF690" s="16">
        <f>ROUND(AD690*100,0)</f>
        <v>60256</v>
      </c>
      <c r="AG690" s="19" t="str">
        <f>IF(AC690=AD690,"TAM",(CONCATENATE(AE690,"/",AF690)))</f>
        <v>12494/60256</v>
      </c>
      <c r="AH690" s="11" t="s">
        <v>50</v>
      </c>
      <c r="AI690" s="21" t="s">
        <v>50</v>
      </c>
      <c r="AJ690" s="21" t="s">
        <v>2062</v>
      </c>
      <c r="AK690" s="54" t="s">
        <v>50</v>
      </c>
      <c r="AL690" s="1" t="s">
        <v>50</v>
      </c>
    </row>
    <row r="691" spans="1:37" ht="12.75" customHeight="1">
      <c r="A691" s="43"/>
      <c r="B691" s="13"/>
      <c r="C691" s="13"/>
      <c r="D691" s="31"/>
      <c r="E691" s="14" t="s">
        <v>50</v>
      </c>
      <c r="F691" s="14"/>
      <c r="G691" s="14"/>
      <c r="H691" s="14"/>
      <c r="I691" s="31"/>
      <c r="J691" s="31"/>
      <c r="K691" s="15"/>
      <c r="L691" s="15"/>
      <c r="M691" s="15"/>
      <c r="N691" s="15"/>
      <c r="O691" s="15"/>
      <c r="P691" s="14"/>
      <c r="Q691" s="14"/>
      <c r="R691" s="14"/>
      <c r="S691" s="14"/>
      <c r="T691" s="14"/>
      <c r="U691" s="14"/>
      <c r="V691" s="14"/>
      <c r="W691" s="14"/>
      <c r="X691" s="14"/>
      <c r="Y691" s="13"/>
      <c r="Z691" s="44"/>
      <c r="AA691" s="43"/>
      <c r="AB691" s="13"/>
      <c r="AC691" s="13"/>
      <c r="AD691" s="13"/>
      <c r="AE691" s="13"/>
      <c r="AF691" s="13"/>
      <c r="AG691" s="13"/>
      <c r="AH691" s="13"/>
      <c r="AI691" s="13"/>
      <c r="AJ691" s="13"/>
      <c r="AK691" s="44"/>
    </row>
    <row r="692" spans="1:38" ht="12.75" customHeight="1">
      <c r="A692" s="41">
        <v>453</v>
      </c>
      <c r="B692" s="10">
        <v>1137</v>
      </c>
      <c r="C692" s="10" t="s">
        <v>2064</v>
      </c>
      <c r="D692" s="16">
        <v>1635.97</v>
      </c>
      <c r="E692" s="20" t="s">
        <v>2065</v>
      </c>
      <c r="F692" s="20" t="s">
        <v>2066</v>
      </c>
      <c r="G692" s="12">
        <v>1</v>
      </c>
      <c r="H692" s="12">
        <v>3</v>
      </c>
      <c r="I692" s="16">
        <f>ROUND(G692,0)</f>
        <v>1</v>
      </c>
      <c r="J692" s="16">
        <f>ROUND(H692,0)</f>
        <v>3</v>
      </c>
      <c r="K692" s="18" t="str">
        <f>IF(I692=J692,"TAM",(CONCATENATE(G692,"/",H692)))</f>
        <v>1/3</v>
      </c>
      <c r="L692" s="29">
        <f>1635.97*1/3</f>
        <v>545.3233333333333</v>
      </c>
      <c r="M692" s="30">
        <v>0</v>
      </c>
      <c r="N692" s="16" t="str">
        <f>IF(M692=0,"0",(O692*M692))</f>
        <v>0</v>
      </c>
      <c r="O692" s="16">
        <f>IF(W692=1,L692,((D692*G692/H692)-P692)/(1-V692)-S692-T692)</f>
        <v>545.3233333333334</v>
      </c>
      <c r="P692" s="16">
        <v>0</v>
      </c>
      <c r="Q692" s="16">
        <f>IF(U692=0,"0",O692*U692)</f>
        <v>182.548311903982</v>
      </c>
      <c r="R692" s="17">
        <f>IF(U692=0,(((D692*G692/H692)-P692-S692-T692)/(1-V692)),(((D692*G692/H692)-P692-S692-T692)/(1-V692))-((D692*G692/H692)-P692-S692-T692)*U692/(1-V692))</f>
        <v>362.77502142935134</v>
      </c>
      <c r="S692" s="12">
        <v>0</v>
      </c>
      <c r="T692" s="12">
        <v>0</v>
      </c>
      <c r="U692" s="12">
        <v>0.334752431714485</v>
      </c>
      <c r="V692" s="12">
        <v>0</v>
      </c>
      <c r="W692" s="28">
        <f>IF(V692&gt;U692,1,V692)</f>
        <v>0</v>
      </c>
      <c r="X692" s="12">
        <v>1</v>
      </c>
      <c r="Y692" s="16">
        <v>0</v>
      </c>
      <c r="Z692" s="42" t="str">
        <f>IF(OR(W692=1,W692=0),"0",(Q692-N692))</f>
        <v>0</v>
      </c>
      <c r="AA692" s="53" t="s">
        <v>2067</v>
      </c>
      <c r="AB692" s="16" t="s">
        <v>2069</v>
      </c>
      <c r="AC692" s="16">
        <v>124.94</v>
      </c>
      <c r="AD692" s="16">
        <v>602.56</v>
      </c>
      <c r="AE692" s="16">
        <f>ROUND(AC692*100,0)</f>
        <v>12494</v>
      </c>
      <c r="AF692" s="16">
        <f>ROUND(AD692*100,0)</f>
        <v>60256</v>
      </c>
      <c r="AG692" s="19" t="str">
        <f>IF(AC692=AD692,"TAM",(CONCATENATE(AE692,"/",AF692)))</f>
        <v>12494/60256</v>
      </c>
      <c r="AH692" s="11" t="s">
        <v>50</v>
      </c>
      <c r="AI692" s="21" t="s">
        <v>50</v>
      </c>
      <c r="AJ692" s="21" t="s">
        <v>2068</v>
      </c>
      <c r="AK692" s="54" t="s">
        <v>50</v>
      </c>
      <c r="AL692" s="1" t="s">
        <v>50</v>
      </c>
    </row>
    <row r="693" spans="1:37" ht="12.75" customHeight="1">
      <c r="A693" s="43"/>
      <c r="B693" s="13"/>
      <c r="C693" s="13"/>
      <c r="D693" s="31"/>
      <c r="E693" s="14" t="s">
        <v>50</v>
      </c>
      <c r="F693" s="14"/>
      <c r="G693" s="14"/>
      <c r="H693" s="14"/>
      <c r="I693" s="31"/>
      <c r="J693" s="31"/>
      <c r="K693" s="15"/>
      <c r="L693" s="15"/>
      <c r="M693" s="15"/>
      <c r="N693" s="15"/>
      <c r="O693" s="15"/>
      <c r="P693" s="14"/>
      <c r="Q693" s="14"/>
      <c r="R693" s="14"/>
      <c r="S693" s="14"/>
      <c r="T693" s="14"/>
      <c r="U693" s="14"/>
      <c r="V693" s="14"/>
      <c r="W693" s="14"/>
      <c r="X693" s="14"/>
      <c r="Y693" s="13"/>
      <c r="Z693" s="44"/>
      <c r="AA693" s="43"/>
      <c r="AB693" s="13"/>
      <c r="AC693" s="13"/>
      <c r="AD693" s="13"/>
      <c r="AE693" s="13"/>
      <c r="AF693" s="13"/>
      <c r="AG693" s="13"/>
      <c r="AH693" s="13"/>
      <c r="AI693" s="13"/>
      <c r="AJ693" s="13"/>
      <c r="AK693" s="44"/>
    </row>
    <row r="694" spans="1:38" ht="12.75" customHeight="1">
      <c r="A694" s="41">
        <v>219</v>
      </c>
      <c r="B694" s="10">
        <v>1070</v>
      </c>
      <c r="C694" s="10" t="s">
        <v>2070</v>
      </c>
      <c r="D694" s="16">
        <v>454.81</v>
      </c>
      <c r="E694" s="20" t="s">
        <v>2071</v>
      </c>
      <c r="F694" s="20" t="s">
        <v>2072</v>
      </c>
      <c r="G694" s="12">
        <v>1</v>
      </c>
      <c r="H694" s="12">
        <v>1</v>
      </c>
      <c r="I694" s="16">
        <f>ROUND(G694,0)</f>
        <v>1</v>
      </c>
      <c r="J694" s="16">
        <f>ROUND(H694,0)</f>
        <v>1</v>
      </c>
      <c r="K694" s="18" t="str">
        <f>IF(I694=J694,"TAM",(CONCATENATE(G694,"/",H694)))</f>
        <v>TAM</v>
      </c>
      <c r="L694" s="29">
        <f>454.81*1/1</f>
        <v>454.81</v>
      </c>
      <c r="M694" s="30">
        <v>0</v>
      </c>
      <c r="N694" s="16" t="str">
        <f>IF(M694=0,"0",(O694*M694))</f>
        <v>0</v>
      </c>
      <c r="O694" s="16">
        <f>IF(W694=1,L694,((D694*G694/H694)-P694)/(1-V694)-S694-T694)</f>
        <v>454.81</v>
      </c>
      <c r="P694" s="16">
        <v>0</v>
      </c>
      <c r="Q694" s="16">
        <f>IF(U694=0,"0",O694*U694)</f>
        <v>152.2487534680649</v>
      </c>
      <c r="R694" s="17">
        <f>IF(U694=0,(((D694*G694/H694)-P694-S694-T694)/(1-V694)),(((D694*G694/H694)-P694-S694-T694)/(1-V694))-((D694*G694/H694)-P694-S694-T694)*U694/(1-V694))</f>
        <v>302.5612465319351</v>
      </c>
      <c r="S694" s="12">
        <v>0</v>
      </c>
      <c r="T694" s="12">
        <v>0</v>
      </c>
      <c r="U694" s="12">
        <v>0.334752431714485</v>
      </c>
      <c r="V694" s="12">
        <v>0</v>
      </c>
      <c r="W694" s="28">
        <f>IF(V694&gt;U694,1,V694)</f>
        <v>0</v>
      </c>
      <c r="X694" s="12">
        <v>1</v>
      </c>
      <c r="Y694" s="16">
        <v>0</v>
      </c>
      <c r="Z694" s="42" t="str">
        <f>IF(OR(W694=1,W694=0),"0",(Q694-N694))</f>
        <v>0</v>
      </c>
      <c r="AA694" s="53" t="s">
        <v>2074</v>
      </c>
      <c r="AB694" s="16" t="s">
        <v>2076</v>
      </c>
      <c r="AC694" s="16">
        <v>40.08</v>
      </c>
      <c r="AD694" s="16">
        <v>400</v>
      </c>
      <c r="AE694" s="16">
        <f>ROUND(AC694*100,0)</f>
        <v>4008</v>
      </c>
      <c r="AF694" s="16">
        <f>ROUND(AD694*100,0)</f>
        <v>40000</v>
      </c>
      <c r="AG694" s="19" t="str">
        <f>IF(AC694=AD694,"TAM",(CONCATENATE(AE694,"/",AF694)))</f>
        <v>4008/40000</v>
      </c>
      <c r="AH694" s="11" t="s">
        <v>50</v>
      </c>
      <c r="AI694" s="21" t="s">
        <v>50</v>
      </c>
      <c r="AJ694" s="21" t="s">
        <v>2075</v>
      </c>
      <c r="AK694" s="54" t="s">
        <v>50</v>
      </c>
      <c r="AL694" s="1" t="s">
        <v>50</v>
      </c>
    </row>
    <row r="695" spans="1:37" ht="101.25" customHeight="1">
      <c r="A695" s="43"/>
      <c r="B695" s="13"/>
      <c r="C695" s="13"/>
      <c r="D695" s="31"/>
      <c r="E695" s="34" t="s">
        <v>2073</v>
      </c>
      <c r="F695" s="14"/>
      <c r="G695" s="14"/>
      <c r="H695" s="14"/>
      <c r="I695" s="31"/>
      <c r="J695" s="31"/>
      <c r="K695" s="15"/>
      <c r="L695" s="15"/>
      <c r="M695" s="15"/>
      <c r="N695" s="15"/>
      <c r="O695" s="15"/>
      <c r="P695" s="14"/>
      <c r="Q695" s="14"/>
      <c r="R695" s="14"/>
      <c r="S695" s="14"/>
      <c r="T695" s="14"/>
      <c r="U695" s="14"/>
      <c r="V695" s="14"/>
      <c r="W695" s="14"/>
      <c r="X695" s="14"/>
      <c r="Y695" s="13"/>
      <c r="Z695" s="44"/>
      <c r="AA695" s="43"/>
      <c r="AB695" s="13"/>
      <c r="AC695" s="13"/>
      <c r="AD695" s="13"/>
      <c r="AE695" s="13"/>
      <c r="AF695" s="13"/>
      <c r="AG695" s="13"/>
      <c r="AH695" s="13"/>
      <c r="AI695" s="13"/>
      <c r="AJ695" s="13"/>
      <c r="AK695" s="44"/>
    </row>
    <row r="696" spans="1:38" ht="12.75" customHeight="1">
      <c r="A696" s="41">
        <v>275</v>
      </c>
      <c r="B696" s="10">
        <v>1084</v>
      </c>
      <c r="C696" s="10" t="s">
        <v>2077</v>
      </c>
      <c r="D696" s="16">
        <v>541.03</v>
      </c>
      <c r="E696" s="20" t="s">
        <v>2078</v>
      </c>
      <c r="F696" s="20" t="s">
        <v>2079</v>
      </c>
      <c r="G696" s="12">
        <v>1</v>
      </c>
      <c r="H696" s="12">
        <v>1</v>
      </c>
      <c r="I696" s="16">
        <f>ROUND(G696,0)</f>
        <v>1</v>
      </c>
      <c r="J696" s="16">
        <f>ROUND(H696,0)</f>
        <v>1</v>
      </c>
      <c r="K696" s="18" t="str">
        <f>IF(I696=J696,"TAM",(CONCATENATE(G696,"/",H696)))</f>
        <v>TAM</v>
      </c>
      <c r="L696" s="29">
        <f>541.03*1/1</f>
        <v>541.03</v>
      </c>
      <c r="M696" s="30">
        <v>0</v>
      </c>
      <c r="N696" s="16" t="str">
        <f>IF(M696=0,"0",(O696*M696))</f>
        <v>0</v>
      </c>
      <c r="O696" s="16">
        <f>IF(W696=1,L696,((D696*G696/H696)-P696)/(1-V696)-S696-T696)</f>
        <v>541.03</v>
      </c>
      <c r="P696" s="16">
        <v>0</v>
      </c>
      <c r="Q696" s="16">
        <f>IF(U696=0,"0",O696*U696)</f>
        <v>181.1111081304878</v>
      </c>
      <c r="R696" s="17">
        <f>IF(U696=0,(((D696*G696/H696)-P696-S696-T696)/(1-V696)),(((D696*G696/H696)-P696-S696-T696)/(1-V696))-((D696*G696/H696)-P696-S696-T696)*U696/(1-V696))</f>
        <v>359.9188918695122</v>
      </c>
      <c r="S696" s="12">
        <v>0</v>
      </c>
      <c r="T696" s="12">
        <v>0</v>
      </c>
      <c r="U696" s="12">
        <v>0.334752431714485</v>
      </c>
      <c r="V696" s="12">
        <v>0</v>
      </c>
      <c r="W696" s="28">
        <f>IF(V696&gt;U696,1,V696)</f>
        <v>0</v>
      </c>
      <c r="X696" s="12">
        <v>1</v>
      </c>
      <c r="Y696" s="16">
        <v>0</v>
      </c>
      <c r="Z696" s="42" t="str">
        <f>IF(OR(W696=1,W696=0),"0",(Q696-N696))</f>
        <v>0</v>
      </c>
      <c r="AA696" s="53" t="s">
        <v>2081</v>
      </c>
      <c r="AB696" s="16" t="s">
        <v>2083</v>
      </c>
      <c r="AC696" s="16">
        <v>359.92</v>
      </c>
      <c r="AD696" s="16">
        <v>400</v>
      </c>
      <c r="AE696" s="16">
        <f>ROUND(AC696*100,0)</f>
        <v>35992</v>
      </c>
      <c r="AF696" s="16">
        <f>ROUND(AD696*100,0)</f>
        <v>40000</v>
      </c>
      <c r="AG696" s="19" t="str">
        <f>IF(AC696=AD696,"TAM",(CONCATENATE(AE696,"/",AF696)))</f>
        <v>35992/40000</v>
      </c>
      <c r="AH696" s="11" t="s">
        <v>50</v>
      </c>
      <c r="AI696" s="21" t="s">
        <v>50</v>
      </c>
      <c r="AJ696" s="21" t="s">
        <v>2082</v>
      </c>
      <c r="AK696" s="54" t="s">
        <v>50</v>
      </c>
      <c r="AL696" s="1" t="s">
        <v>50</v>
      </c>
    </row>
    <row r="697" spans="1:37" ht="100.5" customHeight="1">
      <c r="A697" s="43"/>
      <c r="B697" s="13"/>
      <c r="C697" s="13"/>
      <c r="D697" s="31"/>
      <c r="E697" s="34" t="s">
        <v>2080</v>
      </c>
      <c r="F697" s="14"/>
      <c r="G697" s="14"/>
      <c r="H697" s="14"/>
      <c r="I697" s="31"/>
      <c r="J697" s="31"/>
      <c r="K697" s="15"/>
      <c r="L697" s="15"/>
      <c r="M697" s="15"/>
      <c r="N697" s="15"/>
      <c r="O697" s="15"/>
      <c r="P697" s="14"/>
      <c r="Q697" s="14"/>
      <c r="R697" s="14"/>
      <c r="S697" s="14"/>
      <c r="T697" s="14"/>
      <c r="U697" s="14"/>
      <c r="V697" s="14"/>
      <c r="W697" s="14"/>
      <c r="X697" s="14"/>
      <c r="Y697" s="13"/>
      <c r="Z697" s="44"/>
      <c r="AA697" s="43"/>
      <c r="AB697" s="13"/>
      <c r="AC697" s="13"/>
      <c r="AD697" s="13"/>
      <c r="AE697" s="13"/>
      <c r="AF697" s="13"/>
      <c r="AG697" s="13"/>
      <c r="AH697" s="13"/>
      <c r="AI697" s="13"/>
      <c r="AJ697" s="13"/>
      <c r="AK697" s="44"/>
    </row>
    <row r="698" spans="1:38" ht="12.75" customHeight="1">
      <c r="A698" s="41">
        <v>290</v>
      </c>
      <c r="B698" s="10">
        <v>1087</v>
      </c>
      <c r="C698" s="10" t="s">
        <v>2084</v>
      </c>
      <c r="D698" s="16">
        <v>215.37</v>
      </c>
      <c r="E698" s="20" t="s">
        <v>2085</v>
      </c>
      <c r="F698" s="20" t="s">
        <v>2086</v>
      </c>
      <c r="G698" s="12">
        <v>1</v>
      </c>
      <c r="H698" s="12">
        <v>1</v>
      </c>
      <c r="I698" s="16">
        <f>ROUND(G698,0)</f>
        <v>1</v>
      </c>
      <c r="J698" s="16">
        <f>ROUND(H698,0)</f>
        <v>1</v>
      </c>
      <c r="K698" s="18" t="str">
        <f>IF(I698=J698,"TAM",(CONCATENATE(G698,"/",H698)))</f>
        <v>TAM</v>
      </c>
      <c r="L698" s="29">
        <f>215.37*1/1</f>
        <v>215.37</v>
      </c>
      <c r="M698" s="30">
        <v>0</v>
      </c>
      <c r="N698" s="16" t="str">
        <f>IF(M698=0,"0",(O698*M698))</f>
        <v>0</v>
      </c>
      <c r="O698" s="16">
        <f>IF(W698=1,L698,((D698*G698/H698)-P698)/(1-V698)-S698-T698)</f>
        <v>215.37</v>
      </c>
      <c r="P698" s="16">
        <v>0</v>
      </c>
      <c r="Q698" s="16">
        <f>IF(U698=0,"0",O698*U698)</f>
        <v>72.09563121834863</v>
      </c>
      <c r="R698" s="17">
        <f>IF(U698=0,(((D698*G698/H698)-P698-S698-T698)/(1-V698)),(((D698*G698/H698)-P698-S698-T698)/(1-V698))-((D698*G698/H698)-P698-S698-T698)*U698/(1-V698))</f>
        <v>143.2743687816514</v>
      </c>
      <c r="S698" s="12">
        <v>0</v>
      </c>
      <c r="T698" s="12">
        <v>0</v>
      </c>
      <c r="U698" s="12">
        <v>0.334752431714485</v>
      </c>
      <c r="V698" s="12">
        <v>0</v>
      </c>
      <c r="W698" s="28">
        <f>IF(V698&gt;U698,1,V698)</f>
        <v>0</v>
      </c>
      <c r="X698" s="12">
        <v>1</v>
      </c>
      <c r="Y698" s="16">
        <v>0</v>
      </c>
      <c r="Z698" s="42" t="str">
        <f>IF(OR(W698=1,W698=0),"0",(Q698-N698))</f>
        <v>0</v>
      </c>
      <c r="AA698" s="53" t="s">
        <v>2087</v>
      </c>
      <c r="AB698" s="16" t="s">
        <v>2089</v>
      </c>
      <c r="AC698" s="16">
        <v>143.27</v>
      </c>
      <c r="AD698" s="16">
        <v>606.35</v>
      </c>
      <c r="AE698" s="16">
        <f>ROUND(AC698*100,0)</f>
        <v>14327</v>
      </c>
      <c r="AF698" s="16">
        <f>ROUND(AD698*100,0)</f>
        <v>60635</v>
      </c>
      <c r="AG698" s="19" t="str">
        <f>IF(AC698=AD698,"TAM",(CONCATENATE(AE698,"/",AF698)))</f>
        <v>14327/60635</v>
      </c>
      <c r="AH698" s="11" t="s">
        <v>50</v>
      </c>
      <c r="AI698" s="21" t="s">
        <v>50</v>
      </c>
      <c r="AJ698" s="21" t="s">
        <v>2088</v>
      </c>
      <c r="AK698" s="54" t="s">
        <v>50</v>
      </c>
      <c r="AL698" s="1" t="s">
        <v>50</v>
      </c>
    </row>
    <row r="699" spans="1:37" ht="12.75" customHeight="1">
      <c r="A699" s="43"/>
      <c r="B699" s="13"/>
      <c r="C699" s="13"/>
      <c r="D699" s="31"/>
      <c r="E699" s="14" t="s">
        <v>50</v>
      </c>
      <c r="F699" s="14"/>
      <c r="G699" s="14"/>
      <c r="H699" s="14"/>
      <c r="I699" s="31"/>
      <c r="J699" s="31"/>
      <c r="K699" s="15"/>
      <c r="L699" s="15"/>
      <c r="M699" s="15"/>
      <c r="N699" s="15"/>
      <c r="O699" s="15"/>
      <c r="P699" s="14"/>
      <c r="Q699" s="14"/>
      <c r="R699" s="14"/>
      <c r="S699" s="14"/>
      <c r="T699" s="14"/>
      <c r="U699" s="14"/>
      <c r="V699" s="14"/>
      <c r="W699" s="14"/>
      <c r="X699" s="14"/>
      <c r="Y699" s="13"/>
      <c r="Z699" s="44"/>
      <c r="AA699" s="43"/>
      <c r="AB699" s="13"/>
      <c r="AC699" s="13"/>
      <c r="AD699" s="13"/>
      <c r="AE699" s="13"/>
      <c r="AF699" s="13"/>
      <c r="AG699" s="13"/>
      <c r="AH699" s="13"/>
      <c r="AI699" s="13"/>
      <c r="AJ699" s="13"/>
      <c r="AK699" s="44"/>
    </row>
    <row r="700" spans="1:38" ht="12.75" customHeight="1">
      <c r="A700" s="41">
        <v>291</v>
      </c>
      <c r="B700" s="10">
        <v>1088</v>
      </c>
      <c r="C700" s="10" t="s">
        <v>2090</v>
      </c>
      <c r="D700" s="16">
        <v>180.32</v>
      </c>
      <c r="E700" s="20" t="s">
        <v>2091</v>
      </c>
      <c r="F700" s="20" t="s">
        <v>2092</v>
      </c>
      <c r="G700" s="12">
        <v>1</v>
      </c>
      <c r="H700" s="12">
        <v>1</v>
      </c>
      <c r="I700" s="16">
        <f>ROUND(G700,0)</f>
        <v>1</v>
      </c>
      <c r="J700" s="16">
        <f>ROUND(H700,0)</f>
        <v>1</v>
      </c>
      <c r="K700" s="18" t="str">
        <f>IF(I700=J700,"TAM",(CONCATENATE(G700,"/",H700)))</f>
        <v>TAM</v>
      </c>
      <c r="L700" s="29">
        <f>180.32*1/1</f>
        <v>180.32</v>
      </c>
      <c r="M700" s="30">
        <v>0</v>
      </c>
      <c r="N700" s="16" t="str">
        <f>IF(M700=0,"0",(O700*M700))</f>
        <v>0</v>
      </c>
      <c r="O700" s="16">
        <f>IF(W700=1,L700,((D700*G700/H700)-P700)/(1-V700)-S700-T700)</f>
        <v>180.32</v>
      </c>
      <c r="P700" s="16">
        <v>0</v>
      </c>
      <c r="Q700" s="16">
        <f>IF(U700=0,"0",O700*U700)</f>
        <v>60.36255848675593</v>
      </c>
      <c r="R700" s="17">
        <f>IF(U700=0,(((D700*G700/H700)-P700-S700-T700)/(1-V700)),(((D700*G700/H700)-P700-S700-T700)/(1-V700))-((D700*G700/H700)-P700-S700-T700)*U700/(1-V700))</f>
        <v>119.95744151324406</v>
      </c>
      <c r="S700" s="12">
        <v>0</v>
      </c>
      <c r="T700" s="12">
        <v>0</v>
      </c>
      <c r="U700" s="12">
        <v>0.334752431714485</v>
      </c>
      <c r="V700" s="12">
        <v>0</v>
      </c>
      <c r="W700" s="28">
        <f>IF(V700&gt;U700,1,V700)</f>
        <v>0</v>
      </c>
      <c r="X700" s="12">
        <v>1</v>
      </c>
      <c r="Y700" s="16">
        <v>0</v>
      </c>
      <c r="Z700" s="42" t="str">
        <f>IF(OR(W700=1,W700=0),"0",(Q700-N700))</f>
        <v>0</v>
      </c>
      <c r="AA700" s="53" t="s">
        <v>2093</v>
      </c>
      <c r="AB700" s="16" t="s">
        <v>2095</v>
      </c>
      <c r="AC700" s="16">
        <v>119.96</v>
      </c>
      <c r="AD700" s="16">
        <v>606.35</v>
      </c>
      <c r="AE700" s="16">
        <f>ROUND(AC700*100,0)</f>
        <v>11996</v>
      </c>
      <c r="AF700" s="16">
        <f>ROUND(AD700*100,0)</f>
        <v>60635</v>
      </c>
      <c r="AG700" s="19" t="str">
        <f>IF(AC700=AD700,"TAM",(CONCATENATE(AE700,"/",AF700)))</f>
        <v>11996/60635</v>
      </c>
      <c r="AH700" s="11" t="s">
        <v>50</v>
      </c>
      <c r="AI700" s="21" t="s">
        <v>50</v>
      </c>
      <c r="AJ700" s="21" t="s">
        <v>2094</v>
      </c>
      <c r="AK700" s="54" t="s">
        <v>50</v>
      </c>
      <c r="AL700" s="1" t="s">
        <v>50</v>
      </c>
    </row>
    <row r="701" spans="1:37" ht="12.75" customHeight="1">
      <c r="A701" s="43"/>
      <c r="B701" s="13"/>
      <c r="C701" s="13"/>
      <c r="D701" s="31"/>
      <c r="E701" s="14" t="s">
        <v>50</v>
      </c>
      <c r="F701" s="14"/>
      <c r="G701" s="14"/>
      <c r="H701" s="14"/>
      <c r="I701" s="31"/>
      <c r="J701" s="31"/>
      <c r="K701" s="15"/>
      <c r="L701" s="15"/>
      <c r="M701" s="15"/>
      <c r="N701" s="15"/>
      <c r="O701" s="15"/>
      <c r="P701" s="14"/>
      <c r="Q701" s="14"/>
      <c r="R701" s="14"/>
      <c r="S701" s="14"/>
      <c r="T701" s="14"/>
      <c r="U701" s="14"/>
      <c r="V701" s="14"/>
      <c r="W701" s="14"/>
      <c r="X701" s="14"/>
      <c r="Y701" s="13"/>
      <c r="Z701" s="44"/>
      <c r="AA701" s="43"/>
      <c r="AB701" s="13"/>
      <c r="AC701" s="13"/>
      <c r="AD701" s="13"/>
      <c r="AE701" s="13"/>
      <c r="AF701" s="13"/>
      <c r="AG701" s="13"/>
      <c r="AH701" s="13"/>
      <c r="AI701" s="13"/>
      <c r="AJ701" s="13"/>
      <c r="AK701" s="44"/>
    </row>
    <row r="702" spans="1:38" ht="12.75" customHeight="1">
      <c r="A702" s="41">
        <v>292</v>
      </c>
      <c r="B702" s="10">
        <v>1089</v>
      </c>
      <c r="C702" s="10" t="s">
        <v>2096</v>
      </c>
      <c r="D702" s="16">
        <v>369.31</v>
      </c>
      <c r="E702" s="20" t="s">
        <v>2097</v>
      </c>
      <c r="F702" s="20" t="s">
        <v>2098</v>
      </c>
      <c r="G702" s="12">
        <v>3</v>
      </c>
      <c r="H702" s="12">
        <v>15</v>
      </c>
      <c r="I702" s="16">
        <f>ROUND(G702,0)</f>
        <v>3</v>
      </c>
      <c r="J702" s="16">
        <f>ROUND(H702,0)</f>
        <v>15</v>
      </c>
      <c r="K702" s="18" t="str">
        <f>IF(I702=J702,"TAM",(CONCATENATE(G702,"/",H702)))</f>
        <v>3/15</v>
      </c>
      <c r="L702" s="29">
        <f>369.31*3/15</f>
        <v>73.86200000000001</v>
      </c>
      <c r="M702" s="30">
        <v>0</v>
      </c>
      <c r="N702" s="16" t="str">
        <f>IF(M702=0,"0",(O702*M702))</f>
        <v>0</v>
      </c>
      <c r="O702" s="16">
        <f>IF(W702=1,L702,((D702*G702/H702)-P702)/(1-V702)-S702-T702)</f>
        <v>73.86200000000001</v>
      </c>
      <c r="P702" s="16">
        <v>0</v>
      </c>
      <c r="Q702" s="16">
        <f>IF(U702=0,"0",O702*U702)</f>
        <v>24.725484111295295</v>
      </c>
      <c r="R702" s="17">
        <f>IF(U702=0,(((D702*G702/H702)-P702-S702-T702)/(1-V702)),(((D702*G702/H702)-P702-S702-T702)/(1-V702))-((D702*G702/H702)-P702-S702-T702)*U702/(1-V702))</f>
        <v>49.136515888704714</v>
      </c>
      <c r="S702" s="12">
        <v>0</v>
      </c>
      <c r="T702" s="12">
        <v>0</v>
      </c>
      <c r="U702" s="12">
        <v>0.334752431714485</v>
      </c>
      <c r="V702" s="12">
        <v>0</v>
      </c>
      <c r="W702" s="28">
        <f>IF(V702&gt;U702,1,V702)</f>
        <v>0</v>
      </c>
      <c r="X702" s="12">
        <v>1</v>
      </c>
      <c r="Y702" s="16">
        <v>0</v>
      </c>
      <c r="Z702" s="42" t="str">
        <f>IF(OR(W702=1,W702=0),"0",(Q702-N702))</f>
        <v>0</v>
      </c>
      <c r="AA702" s="53" t="s">
        <v>2099</v>
      </c>
      <c r="AB702" s="16" t="s">
        <v>2101</v>
      </c>
      <c r="AC702" s="16">
        <v>49.14</v>
      </c>
      <c r="AD702" s="16">
        <v>606.35</v>
      </c>
      <c r="AE702" s="16">
        <f>ROUND(AC702*100,0)</f>
        <v>4914</v>
      </c>
      <c r="AF702" s="16">
        <f>ROUND(AD702*100,0)</f>
        <v>60635</v>
      </c>
      <c r="AG702" s="19" t="str">
        <f>IF(AC702=AD702,"TAM",(CONCATENATE(AE702,"/",AF702)))</f>
        <v>4914/60635</v>
      </c>
      <c r="AH702" s="11" t="s">
        <v>50</v>
      </c>
      <c r="AI702" s="21" t="s">
        <v>50</v>
      </c>
      <c r="AJ702" s="21" t="s">
        <v>2100</v>
      </c>
      <c r="AK702" s="54" t="s">
        <v>50</v>
      </c>
      <c r="AL702" s="1" t="s">
        <v>50</v>
      </c>
    </row>
    <row r="703" spans="1:37" ht="12.75" customHeight="1">
      <c r="A703" s="43"/>
      <c r="B703" s="13"/>
      <c r="C703" s="13"/>
      <c r="D703" s="31"/>
      <c r="E703" s="14" t="s">
        <v>50</v>
      </c>
      <c r="F703" s="14"/>
      <c r="G703" s="14"/>
      <c r="H703" s="14"/>
      <c r="I703" s="31"/>
      <c r="J703" s="31"/>
      <c r="K703" s="15"/>
      <c r="L703" s="15"/>
      <c r="M703" s="15"/>
      <c r="N703" s="15"/>
      <c r="O703" s="15"/>
      <c r="P703" s="14"/>
      <c r="Q703" s="14"/>
      <c r="R703" s="14"/>
      <c r="S703" s="14"/>
      <c r="T703" s="14"/>
      <c r="U703" s="14"/>
      <c r="V703" s="14"/>
      <c r="W703" s="14"/>
      <c r="X703" s="14"/>
      <c r="Y703" s="13"/>
      <c r="Z703" s="44"/>
      <c r="AA703" s="43"/>
      <c r="AB703" s="13"/>
      <c r="AC703" s="13"/>
      <c r="AD703" s="13"/>
      <c r="AE703" s="13"/>
      <c r="AF703" s="13"/>
      <c r="AG703" s="13"/>
      <c r="AH703" s="13"/>
      <c r="AI703" s="13"/>
      <c r="AJ703" s="13"/>
      <c r="AK703" s="44"/>
    </row>
    <row r="704" spans="1:38" ht="12.75" customHeight="1">
      <c r="A704" s="41">
        <v>303</v>
      </c>
      <c r="B704" s="10">
        <v>1089</v>
      </c>
      <c r="C704" s="10" t="s">
        <v>2102</v>
      </c>
      <c r="D704" s="16">
        <v>369.31</v>
      </c>
      <c r="E704" s="20" t="s">
        <v>2103</v>
      </c>
      <c r="F704" s="20" t="s">
        <v>2104</v>
      </c>
      <c r="G704" s="12">
        <v>1</v>
      </c>
      <c r="H704" s="12">
        <v>30</v>
      </c>
      <c r="I704" s="16">
        <f>ROUND(G704,0)</f>
        <v>1</v>
      </c>
      <c r="J704" s="16">
        <f>ROUND(H704,0)</f>
        <v>30</v>
      </c>
      <c r="K704" s="18" t="str">
        <f>IF(I704=J704,"TAM",(CONCATENATE(G704,"/",H704)))</f>
        <v>1/30</v>
      </c>
      <c r="L704" s="29">
        <f>369.31*1/30</f>
        <v>12.310333333333332</v>
      </c>
      <c r="M704" s="30">
        <v>0</v>
      </c>
      <c r="N704" s="16" t="str">
        <f>IF(M704=0,"0",(O704*M704))</f>
        <v>0</v>
      </c>
      <c r="O704" s="16">
        <f>IF(W704=1,L704,((D704*G704/H704)-P704)/(1-V704)-S704-T704)</f>
        <v>12.310333333333334</v>
      </c>
      <c r="P704" s="16">
        <v>0</v>
      </c>
      <c r="Q704" s="16">
        <f>IF(U704=0,"0",O704*U704)</f>
        <v>4.1209140185492155</v>
      </c>
      <c r="R704" s="17">
        <f>IF(U704=0,(((D704*G704/H704)-P704-S704-T704)/(1-V704)),(((D704*G704/H704)-P704-S704-T704)/(1-V704))-((D704*G704/H704)-P704-S704-T704)*U704/(1-V704))</f>
        <v>8.189419314784118</v>
      </c>
      <c r="S704" s="12">
        <v>0</v>
      </c>
      <c r="T704" s="12">
        <v>0</v>
      </c>
      <c r="U704" s="12">
        <v>0.334752431714485</v>
      </c>
      <c r="V704" s="12">
        <v>0</v>
      </c>
      <c r="W704" s="28">
        <f>IF(V704&gt;U704,1,V704)</f>
        <v>0</v>
      </c>
      <c r="X704" s="12">
        <v>1</v>
      </c>
      <c r="Y704" s="16">
        <v>0</v>
      </c>
      <c r="Z704" s="42" t="str">
        <f>IF(OR(W704=1,W704=0),"0",(Q704-N704))</f>
        <v>0</v>
      </c>
      <c r="AA704" s="53" t="s">
        <v>2105</v>
      </c>
      <c r="AB704" s="16" t="s">
        <v>2107</v>
      </c>
      <c r="AC704" s="16">
        <v>8.19</v>
      </c>
      <c r="AD704" s="16">
        <v>606.35</v>
      </c>
      <c r="AE704" s="16">
        <f>ROUND(AC704*100,0)</f>
        <v>819</v>
      </c>
      <c r="AF704" s="16">
        <f>ROUND(AD704*100,0)</f>
        <v>60635</v>
      </c>
      <c r="AG704" s="19" t="str">
        <f>IF(AC704=AD704,"TAM",(CONCATENATE(AE704,"/",AF704)))</f>
        <v>819/60635</v>
      </c>
      <c r="AH704" s="11" t="s">
        <v>50</v>
      </c>
      <c r="AI704" s="21" t="s">
        <v>50</v>
      </c>
      <c r="AJ704" s="21" t="s">
        <v>2106</v>
      </c>
      <c r="AK704" s="54" t="s">
        <v>50</v>
      </c>
      <c r="AL704" s="1" t="s">
        <v>50</v>
      </c>
    </row>
    <row r="705" spans="1:37" ht="12.75" customHeight="1">
      <c r="A705" s="43"/>
      <c r="B705" s="13"/>
      <c r="C705" s="13"/>
      <c r="D705" s="31"/>
      <c r="E705" s="14" t="s">
        <v>50</v>
      </c>
      <c r="F705" s="14"/>
      <c r="G705" s="14"/>
      <c r="H705" s="14"/>
      <c r="I705" s="31"/>
      <c r="J705" s="31"/>
      <c r="K705" s="15"/>
      <c r="L705" s="15"/>
      <c r="M705" s="15"/>
      <c r="N705" s="15"/>
      <c r="O705" s="15"/>
      <c r="P705" s="14"/>
      <c r="Q705" s="14"/>
      <c r="R705" s="14"/>
      <c r="S705" s="14"/>
      <c r="T705" s="14"/>
      <c r="U705" s="14"/>
      <c r="V705" s="14"/>
      <c r="W705" s="14"/>
      <c r="X705" s="14"/>
      <c r="Y705" s="13"/>
      <c r="Z705" s="44"/>
      <c r="AA705" s="43"/>
      <c r="AB705" s="13"/>
      <c r="AC705" s="13"/>
      <c r="AD705" s="13"/>
      <c r="AE705" s="13"/>
      <c r="AF705" s="13"/>
      <c r="AG705" s="13"/>
      <c r="AH705" s="13"/>
      <c r="AI705" s="13"/>
      <c r="AJ705" s="13"/>
      <c r="AK705" s="44"/>
    </row>
    <row r="706" spans="1:38" ht="12.75" customHeight="1">
      <c r="A706" s="41">
        <v>294</v>
      </c>
      <c r="B706" s="10">
        <v>1089</v>
      </c>
      <c r="C706" s="10" t="s">
        <v>2108</v>
      </c>
      <c r="D706" s="16">
        <v>369.31</v>
      </c>
      <c r="E706" s="20" t="s">
        <v>2109</v>
      </c>
      <c r="F706" s="20" t="s">
        <v>2110</v>
      </c>
      <c r="G706" s="12">
        <v>3</v>
      </c>
      <c r="H706" s="12">
        <v>15</v>
      </c>
      <c r="I706" s="16">
        <f>ROUND(G706,0)</f>
        <v>3</v>
      </c>
      <c r="J706" s="16">
        <f>ROUND(H706,0)</f>
        <v>15</v>
      </c>
      <c r="K706" s="18" t="str">
        <f>IF(I706=J706,"TAM",(CONCATENATE(G706,"/",H706)))</f>
        <v>3/15</v>
      </c>
      <c r="L706" s="29">
        <f>369.31*3/15</f>
        <v>73.86200000000001</v>
      </c>
      <c r="M706" s="30">
        <v>0</v>
      </c>
      <c r="N706" s="16" t="str">
        <f>IF(M706=0,"0",(O706*M706))</f>
        <v>0</v>
      </c>
      <c r="O706" s="16">
        <f>IF(W706=1,L706,((D706*G706/H706)-P706)/(1-V706)-S706-T706)</f>
        <v>73.86200000000001</v>
      </c>
      <c r="P706" s="16">
        <v>0</v>
      </c>
      <c r="Q706" s="16">
        <f>IF(U706=0,"0",O706*U706)</f>
        <v>24.725484111295295</v>
      </c>
      <c r="R706" s="17">
        <f>IF(U706=0,(((D706*G706/H706)-P706-S706-T706)/(1-V706)),(((D706*G706/H706)-P706-S706-T706)/(1-V706))-((D706*G706/H706)-P706-S706-T706)*U706/(1-V706))</f>
        <v>49.136515888704714</v>
      </c>
      <c r="S706" s="12">
        <v>0</v>
      </c>
      <c r="T706" s="12">
        <v>0</v>
      </c>
      <c r="U706" s="12">
        <v>0.334752431714485</v>
      </c>
      <c r="V706" s="12">
        <v>0</v>
      </c>
      <c r="W706" s="28">
        <f>IF(V706&gt;U706,1,V706)</f>
        <v>0</v>
      </c>
      <c r="X706" s="12">
        <v>1</v>
      </c>
      <c r="Y706" s="16">
        <v>0</v>
      </c>
      <c r="Z706" s="42" t="str">
        <f>IF(OR(W706=1,W706=0),"0",(Q706-N706))</f>
        <v>0</v>
      </c>
      <c r="AA706" s="53" t="s">
        <v>2111</v>
      </c>
      <c r="AB706" s="16" t="s">
        <v>2113</v>
      </c>
      <c r="AC706" s="16">
        <v>49.13</v>
      </c>
      <c r="AD706" s="16">
        <v>606.35</v>
      </c>
      <c r="AE706" s="16">
        <f>ROUND(AC706*100,0)</f>
        <v>4913</v>
      </c>
      <c r="AF706" s="16">
        <f>ROUND(AD706*100,0)</f>
        <v>60635</v>
      </c>
      <c r="AG706" s="19" t="str">
        <f>IF(AC706=AD706,"TAM",(CONCATENATE(AE706,"/",AF706)))</f>
        <v>4913/60635</v>
      </c>
      <c r="AH706" s="11" t="s">
        <v>50</v>
      </c>
      <c r="AI706" s="21" t="s">
        <v>50</v>
      </c>
      <c r="AJ706" s="21" t="s">
        <v>2112</v>
      </c>
      <c r="AK706" s="54" t="s">
        <v>50</v>
      </c>
      <c r="AL706" s="1" t="s">
        <v>50</v>
      </c>
    </row>
    <row r="707" spans="1:37" ht="12.75" customHeight="1">
      <c r="A707" s="43"/>
      <c r="B707" s="13"/>
      <c r="C707" s="13"/>
      <c r="D707" s="31"/>
      <c r="E707" s="14" t="s">
        <v>50</v>
      </c>
      <c r="F707" s="14"/>
      <c r="G707" s="14"/>
      <c r="H707" s="14"/>
      <c r="I707" s="31"/>
      <c r="J707" s="31"/>
      <c r="K707" s="15"/>
      <c r="L707" s="15"/>
      <c r="M707" s="15"/>
      <c r="N707" s="15"/>
      <c r="O707" s="15"/>
      <c r="P707" s="14"/>
      <c r="Q707" s="14"/>
      <c r="R707" s="14"/>
      <c r="S707" s="14"/>
      <c r="T707" s="14"/>
      <c r="U707" s="14"/>
      <c r="V707" s="14"/>
      <c r="W707" s="14"/>
      <c r="X707" s="14"/>
      <c r="Y707" s="13"/>
      <c r="Z707" s="44"/>
      <c r="AA707" s="43"/>
      <c r="AB707" s="13"/>
      <c r="AC707" s="13"/>
      <c r="AD707" s="13"/>
      <c r="AE707" s="13"/>
      <c r="AF707" s="13"/>
      <c r="AG707" s="13"/>
      <c r="AH707" s="13"/>
      <c r="AI707" s="13"/>
      <c r="AJ707" s="13"/>
      <c r="AK707" s="44"/>
    </row>
    <row r="708" spans="1:38" ht="12.75" customHeight="1">
      <c r="A708" s="41">
        <v>300</v>
      </c>
      <c r="B708" s="10">
        <v>1089</v>
      </c>
      <c r="C708" s="10" t="s">
        <v>2114</v>
      </c>
      <c r="D708" s="16">
        <v>369.31</v>
      </c>
      <c r="E708" s="20" t="s">
        <v>2115</v>
      </c>
      <c r="F708" s="20" t="s">
        <v>2116</v>
      </c>
      <c r="G708" s="12">
        <v>1</v>
      </c>
      <c r="H708" s="12">
        <v>30</v>
      </c>
      <c r="I708" s="16">
        <f>ROUND(G708,0)</f>
        <v>1</v>
      </c>
      <c r="J708" s="16">
        <f>ROUND(H708,0)</f>
        <v>30</v>
      </c>
      <c r="K708" s="18" t="str">
        <f>IF(I708=J708,"TAM",(CONCATENATE(G708,"/",H708)))</f>
        <v>1/30</v>
      </c>
      <c r="L708" s="29">
        <f>369.31*1/30</f>
        <v>12.310333333333332</v>
      </c>
      <c r="M708" s="30">
        <v>0</v>
      </c>
      <c r="N708" s="16" t="str">
        <f>IF(M708=0,"0",(O708*M708))</f>
        <v>0</v>
      </c>
      <c r="O708" s="16">
        <f>IF(W708=1,L708,((D708*G708/H708)-P708)/(1-V708)-S708-T708)</f>
        <v>12.310333333333334</v>
      </c>
      <c r="P708" s="16">
        <v>0</v>
      </c>
      <c r="Q708" s="16">
        <f>IF(U708=0,"0",O708*U708)</f>
        <v>4.1209140185492155</v>
      </c>
      <c r="R708" s="17">
        <f>IF(U708=0,(((D708*G708/H708)-P708-S708-T708)/(1-V708)),(((D708*G708/H708)-P708-S708-T708)/(1-V708))-((D708*G708/H708)-P708-S708-T708)*U708/(1-V708))</f>
        <v>8.189419314784118</v>
      </c>
      <c r="S708" s="12">
        <v>0</v>
      </c>
      <c r="T708" s="12">
        <v>0</v>
      </c>
      <c r="U708" s="12">
        <v>0.334752431714485</v>
      </c>
      <c r="V708" s="12">
        <v>0</v>
      </c>
      <c r="W708" s="28">
        <f>IF(V708&gt;U708,1,V708)</f>
        <v>0</v>
      </c>
      <c r="X708" s="12">
        <v>1</v>
      </c>
      <c r="Y708" s="16">
        <v>0</v>
      </c>
      <c r="Z708" s="42" t="str">
        <f>IF(OR(W708=1,W708=0),"0",(Q708-N708))</f>
        <v>0</v>
      </c>
      <c r="AA708" s="53" t="s">
        <v>2117</v>
      </c>
      <c r="AB708" s="16" t="s">
        <v>2119</v>
      </c>
      <c r="AC708" s="16">
        <v>8.19</v>
      </c>
      <c r="AD708" s="16">
        <v>606.35</v>
      </c>
      <c r="AE708" s="16">
        <f>ROUND(AC708*100,0)</f>
        <v>819</v>
      </c>
      <c r="AF708" s="16">
        <f>ROUND(AD708*100,0)</f>
        <v>60635</v>
      </c>
      <c r="AG708" s="19" t="str">
        <f>IF(AC708=AD708,"TAM",(CONCATENATE(AE708,"/",AF708)))</f>
        <v>819/60635</v>
      </c>
      <c r="AH708" s="11" t="s">
        <v>50</v>
      </c>
      <c r="AI708" s="21" t="s">
        <v>50</v>
      </c>
      <c r="AJ708" s="21" t="s">
        <v>2118</v>
      </c>
      <c r="AK708" s="54" t="s">
        <v>50</v>
      </c>
      <c r="AL708" s="1" t="s">
        <v>50</v>
      </c>
    </row>
    <row r="709" spans="1:37" ht="12.75" customHeight="1">
      <c r="A709" s="43"/>
      <c r="B709" s="13"/>
      <c r="C709" s="13"/>
      <c r="D709" s="31"/>
      <c r="E709" s="14" t="s">
        <v>50</v>
      </c>
      <c r="F709" s="14"/>
      <c r="G709" s="14"/>
      <c r="H709" s="14"/>
      <c r="I709" s="31"/>
      <c r="J709" s="31"/>
      <c r="K709" s="15"/>
      <c r="L709" s="15"/>
      <c r="M709" s="15"/>
      <c r="N709" s="15"/>
      <c r="O709" s="15"/>
      <c r="P709" s="14"/>
      <c r="Q709" s="14"/>
      <c r="R709" s="14"/>
      <c r="S709" s="14"/>
      <c r="T709" s="14"/>
      <c r="U709" s="14"/>
      <c r="V709" s="14"/>
      <c r="W709" s="14"/>
      <c r="X709" s="14"/>
      <c r="Y709" s="13"/>
      <c r="Z709" s="44"/>
      <c r="AA709" s="43"/>
      <c r="AB709" s="13"/>
      <c r="AC709" s="13"/>
      <c r="AD709" s="13"/>
      <c r="AE709" s="13"/>
      <c r="AF709" s="13"/>
      <c r="AG709" s="13"/>
      <c r="AH709" s="13"/>
      <c r="AI709" s="13"/>
      <c r="AJ709" s="13"/>
      <c r="AK709" s="44"/>
    </row>
    <row r="710" spans="1:38" ht="12.75" customHeight="1">
      <c r="A710" s="41">
        <v>293</v>
      </c>
      <c r="B710" s="10">
        <v>1089</v>
      </c>
      <c r="C710" s="10" t="s">
        <v>2120</v>
      </c>
      <c r="D710" s="16">
        <v>369.31</v>
      </c>
      <c r="E710" s="20" t="s">
        <v>2121</v>
      </c>
      <c r="F710" s="20" t="s">
        <v>2122</v>
      </c>
      <c r="G710" s="12">
        <v>3</v>
      </c>
      <c r="H710" s="12">
        <v>15</v>
      </c>
      <c r="I710" s="16">
        <f>ROUND(G710,0)</f>
        <v>3</v>
      </c>
      <c r="J710" s="16">
        <f>ROUND(H710,0)</f>
        <v>15</v>
      </c>
      <c r="K710" s="18" t="str">
        <f>IF(I710=J710,"TAM",(CONCATENATE(G710,"/",H710)))</f>
        <v>3/15</v>
      </c>
      <c r="L710" s="29">
        <f>369.31*3/15</f>
        <v>73.86200000000001</v>
      </c>
      <c r="M710" s="30">
        <v>0</v>
      </c>
      <c r="N710" s="16" t="str">
        <f>IF(M710=0,"0",(O710*M710))</f>
        <v>0</v>
      </c>
      <c r="O710" s="16">
        <f>IF(W710=1,L710,((D710*G710/H710)-P710)/(1-V710)-S710-T710)</f>
        <v>73.86200000000001</v>
      </c>
      <c r="P710" s="16">
        <v>0</v>
      </c>
      <c r="Q710" s="16">
        <f>IF(U710=0,"0",O710*U710)</f>
        <v>24.725484111295295</v>
      </c>
      <c r="R710" s="17">
        <f>IF(U710=0,(((D710*G710/H710)-P710-S710-T710)/(1-V710)),(((D710*G710/H710)-P710-S710-T710)/(1-V710))-((D710*G710/H710)-P710-S710-T710)*U710/(1-V710))</f>
        <v>49.136515888704714</v>
      </c>
      <c r="S710" s="12">
        <v>0</v>
      </c>
      <c r="T710" s="12">
        <v>0</v>
      </c>
      <c r="U710" s="12">
        <v>0.334752431714485</v>
      </c>
      <c r="V710" s="12">
        <v>0</v>
      </c>
      <c r="W710" s="28">
        <f>IF(V710&gt;U710,1,V710)</f>
        <v>0</v>
      </c>
      <c r="X710" s="12">
        <v>1</v>
      </c>
      <c r="Y710" s="16">
        <v>0</v>
      </c>
      <c r="Z710" s="42" t="str">
        <f>IF(OR(W710=1,W710=0),"0",(Q710-N710))</f>
        <v>0</v>
      </c>
      <c r="AA710" s="53" t="s">
        <v>2123</v>
      </c>
      <c r="AB710" s="16" t="s">
        <v>2125</v>
      </c>
      <c r="AC710" s="16">
        <v>49.13</v>
      </c>
      <c r="AD710" s="16">
        <v>606.35</v>
      </c>
      <c r="AE710" s="16">
        <f>ROUND(AC710*100,0)</f>
        <v>4913</v>
      </c>
      <c r="AF710" s="16">
        <f>ROUND(AD710*100,0)</f>
        <v>60635</v>
      </c>
      <c r="AG710" s="19" t="str">
        <f>IF(AC710=AD710,"TAM",(CONCATENATE(AE710,"/",AF710)))</f>
        <v>4913/60635</v>
      </c>
      <c r="AH710" s="11" t="s">
        <v>50</v>
      </c>
      <c r="AI710" s="21" t="s">
        <v>50</v>
      </c>
      <c r="AJ710" s="21" t="s">
        <v>2124</v>
      </c>
      <c r="AK710" s="54" t="s">
        <v>50</v>
      </c>
      <c r="AL710" s="1" t="s">
        <v>50</v>
      </c>
    </row>
    <row r="711" spans="1:37" ht="12.75" customHeight="1">
      <c r="A711" s="43"/>
      <c r="B711" s="13"/>
      <c r="C711" s="13"/>
      <c r="D711" s="31"/>
      <c r="E711" s="14" t="s">
        <v>50</v>
      </c>
      <c r="F711" s="14"/>
      <c r="G711" s="14"/>
      <c r="H711" s="14"/>
      <c r="I711" s="31"/>
      <c r="J711" s="31"/>
      <c r="K711" s="15"/>
      <c r="L711" s="15"/>
      <c r="M711" s="15"/>
      <c r="N711" s="15"/>
      <c r="O711" s="15"/>
      <c r="P711" s="14"/>
      <c r="Q711" s="14"/>
      <c r="R711" s="14"/>
      <c r="S711" s="14"/>
      <c r="T711" s="14"/>
      <c r="U711" s="14"/>
      <c r="V711" s="14"/>
      <c r="W711" s="14"/>
      <c r="X711" s="14"/>
      <c r="Y711" s="13"/>
      <c r="Z711" s="44"/>
      <c r="AA711" s="43"/>
      <c r="AB711" s="13"/>
      <c r="AC711" s="13"/>
      <c r="AD711" s="13"/>
      <c r="AE711" s="13"/>
      <c r="AF711" s="13"/>
      <c r="AG711" s="13"/>
      <c r="AH711" s="13"/>
      <c r="AI711" s="13"/>
      <c r="AJ711" s="13"/>
      <c r="AK711" s="44"/>
    </row>
    <row r="712" spans="1:38" ht="12.75" customHeight="1">
      <c r="A712" s="41">
        <v>301</v>
      </c>
      <c r="B712" s="10">
        <v>1089</v>
      </c>
      <c r="C712" s="10" t="s">
        <v>2126</v>
      </c>
      <c r="D712" s="16">
        <v>369.31</v>
      </c>
      <c r="E712" s="20" t="s">
        <v>2127</v>
      </c>
      <c r="F712" s="20" t="s">
        <v>2128</v>
      </c>
      <c r="G712" s="12">
        <v>1</v>
      </c>
      <c r="H712" s="12">
        <v>30</v>
      </c>
      <c r="I712" s="16">
        <f>ROUND(G712,0)</f>
        <v>1</v>
      </c>
      <c r="J712" s="16">
        <f>ROUND(H712,0)</f>
        <v>30</v>
      </c>
      <c r="K712" s="18" t="str">
        <f>IF(I712=J712,"TAM",(CONCATENATE(G712,"/",H712)))</f>
        <v>1/30</v>
      </c>
      <c r="L712" s="29">
        <f>369.31*1/30</f>
        <v>12.310333333333332</v>
      </c>
      <c r="M712" s="30">
        <v>0</v>
      </c>
      <c r="N712" s="16" t="str">
        <f>IF(M712=0,"0",(O712*M712))</f>
        <v>0</v>
      </c>
      <c r="O712" s="16">
        <f>IF(W712=1,L712,((D712*G712/H712)-P712)/(1-V712)-S712-T712)</f>
        <v>12.310333333333334</v>
      </c>
      <c r="P712" s="16">
        <v>0</v>
      </c>
      <c r="Q712" s="16">
        <f>IF(U712=0,"0",O712*U712)</f>
        <v>4.1209140185492155</v>
      </c>
      <c r="R712" s="17">
        <f>IF(U712=0,(((D712*G712/H712)-P712-S712-T712)/(1-V712)),(((D712*G712/H712)-P712-S712-T712)/(1-V712))-((D712*G712/H712)-P712-S712-T712)*U712/(1-V712))</f>
        <v>8.189419314784118</v>
      </c>
      <c r="S712" s="12">
        <v>0</v>
      </c>
      <c r="T712" s="12">
        <v>0</v>
      </c>
      <c r="U712" s="12">
        <v>0.334752431714485</v>
      </c>
      <c r="V712" s="12">
        <v>0</v>
      </c>
      <c r="W712" s="28">
        <f>IF(V712&gt;U712,1,V712)</f>
        <v>0</v>
      </c>
      <c r="X712" s="12">
        <v>1</v>
      </c>
      <c r="Y712" s="16">
        <v>0</v>
      </c>
      <c r="Z712" s="42" t="str">
        <f>IF(OR(W712=1,W712=0),"0",(Q712-N712))</f>
        <v>0</v>
      </c>
      <c r="AA712" s="53" t="s">
        <v>2129</v>
      </c>
      <c r="AB712" s="16" t="s">
        <v>2131</v>
      </c>
      <c r="AC712" s="16">
        <v>8.19</v>
      </c>
      <c r="AD712" s="16">
        <v>606.35</v>
      </c>
      <c r="AE712" s="16">
        <f>ROUND(AC712*100,0)</f>
        <v>819</v>
      </c>
      <c r="AF712" s="16">
        <f>ROUND(AD712*100,0)</f>
        <v>60635</v>
      </c>
      <c r="AG712" s="19" t="str">
        <f>IF(AC712=AD712,"TAM",(CONCATENATE(AE712,"/",AF712)))</f>
        <v>819/60635</v>
      </c>
      <c r="AH712" s="11" t="s">
        <v>50</v>
      </c>
      <c r="AI712" s="21" t="s">
        <v>50</v>
      </c>
      <c r="AJ712" s="21" t="s">
        <v>2130</v>
      </c>
      <c r="AK712" s="54" t="s">
        <v>50</v>
      </c>
      <c r="AL712" s="1" t="s">
        <v>50</v>
      </c>
    </row>
    <row r="713" spans="1:37" ht="12.75" customHeight="1">
      <c r="A713" s="43"/>
      <c r="B713" s="13"/>
      <c r="C713" s="13"/>
      <c r="D713" s="31"/>
      <c r="E713" s="14" t="s">
        <v>50</v>
      </c>
      <c r="F713" s="14"/>
      <c r="G713" s="14"/>
      <c r="H713" s="14"/>
      <c r="I713" s="31"/>
      <c r="J713" s="31"/>
      <c r="K713" s="15"/>
      <c r="L713" s="15"/>
      <c r="M713" s="15"/>
      <c r="N713" s="15"/>
      <c r="O713" s="15"/>
      <c r="P713" s="14"/>
      <c r="Q713" s="14"/>
      <c r="R713" s="14"/>
      <c r="S713" s="14"/>
      <c r="T713" s="14"/>
      <c r="U713" s="14"/>
      <c r="V713" s="14"/>
      <c r="W713" s="14"/>
      <c r="X713" s="14"/>
      <c r="Y713" s="13"/>
      <c r="Z713" s="44"/>
      <c r="AA713" s="43"/>
      <c r="AB713" s="13"/>
      <c r="AC713" s="13"/>
      <c r="AD713" s="13"/>
      <c r="AE713" s="13"/>
      <c r="AF713" s="13"/>
      <c r="AG713" s="13"/>
      <c r="AH713" s="13"/>
      <c r="AI713" s="13"/>
      <c r="AJ713" s="13"/>
      <c r="AK713" s="44"/>
    </row>
    <row r="714" spans="1:38" ht="12.75" customHeight="1">
      <c r="A714" s="41">
        <v>302</v>
      </c>
      <c r="B714" s="10">
        <v>1089</v>
      </c>
      <c r="C714" s="10" t="s">
        <v>2132</v>
      </c>
      <c r="D714" s="16">
        <v>369.31</v>
      </c>
      <c r="E714" s="20" t="s">
        <v>2133</v>
      </c>
      <c r="F714" s="20" t="s">
        <v>2134</v>
      </c>
      <c r="G714" s="12">
        <v>1</v>
      </c>
      <c r="H714" s="12">
        <v>30</v>
      </c>
      <c r="I714" s="16">
        <f>ROUND(G714,0)</f>
        <v>1</v>
      </c>
      <c r="J714" s="16">
        <f>ROUND(H714,0)</f>
        <v>30</v>
      </c>
      <c r="K714" s="18" t="str">
        <f>IF(I714=J714,"TAM",(CONCATENATE(G714,"/",H714)))</f>
        <v>1/30</v>
      </c>
      <c r="L714" s="29">
        <f>369.31*1/30</f>
        <v>12.310333333333332</v>
      </c>
      <c r="M714" s="30">
        <v>0</v>
      </c>
      <c r="N714" s="16" t="str">
        <f>IF(M714=0,"0",(O714*M714))</f>
        <v>0</v>
      </c>
      <c r="O714" s="16">
        <f>IF(W714=1,L714,((D714*G714/H714)-P714)/(1-V714)-S714-T714)</f>
        <v>12.310333333333334</v>
      </c>
      <c r="P714" s="16">
        <v>0</v>
      </c>
      <c r="Q714" s="16">
        <f>IF(U714=0,"0",O714*U714)</f>
        <v>4.1209140185492155</v>
      </c>
      <c r="R714" s="17">
        <f>IF(U714=0,(((D714*G714/H714)-P714-S714-T714)/(1-V714)),(((D714*G714/H714)-P714-S714-T714)/(1-V714))-((D714*G714/H714)-P714-S714-T714)*U714/(1-V714))</f>
        <v>8.189419314784118</v>
      </c>
      <c r="S714" s="12">
        <v>0</v>
      </c>
      <c r="T714" s="12">
        <v>0</v>
      </c>
      <c r="U714" s="12">
        <v>0.334752431714485</v>
      </c>
      <c r="V714" s="12">
        <v>0</v>
      </c>
      <c r="W714" s="28">
        <f>IF(V714&gt;U714,1,V714)</f>
        <v>0</v>
      </c>
      <c r="X714" s="12">
        <v>1</v>
      </c>
      <c r="Y714" s="16">
        <v>0</v>
      </c>
      <c r="Z714" s="42" t="str">
        <f>IF(OR(W714=1,W714=0),"0",(Q714-N714))</f>
        <v>0</v>
      </c>
      <c r="AA714" s="53" t="s">
        <v>2135</v>
      </c>
      <c r="AB714" s="16" t="s">
        <v>2137</v>
      </c>
      <c r="AC714" s="16">
        <v>8.19</v>
      </c>
      <c r="AD714" s="16">
        <v>606.35</v>
      </c>
      <c r="AE714" s="16">
        <f>ROUND(AC714*100,0)</f>
        <v>819</v>
      </c>
      <c r="AF714" s="16">
        <f>ROUND(AD714*100,0)</f>
        <v>60635</v>
      </c>
      <c r="AG714" s="19" t="str">
        <f>IF(AC714=AD714,"TAM",(CONCATENATE(AE714,"/",AF714)))</f>
        <v>819/60635</v>
      </c>
      <c r="AH714" s="11" t="s">
        <v>50</v>
      </c>
      <c r="AI714" s="21" t="s">
        <v>50</v>
      </c>
      <c r="AJ714" s="21" t="s">
        <v>2136</v>
      </c>
      <c r="AK714" s="54" t="s">
        <v>50</v>
      </c>
      <c r="AL714" s="1" t="s">
        <v>50</v>
      </c>
    </row>
    <row r="715" spans="1:37" ht="12.75" customHeight="1">
      <c r="A715" s="43"/>
      <c r="B715" s="13"/>
      <c r="C715" s="13"/>
      <c r="D715" s="31"/>
      <c r="E715" s="14" t="s">
        <v>50</v>
      </c>
      <c r="F715" s="14"/>
      <c r="G715" s="14"/>
      <c r="H715" s="14"/>
      <c r="I715" s="31"/>
      <c r="J715" s="31"/>
      <c r="K715" s="15"/>
      <c r="L715" s="15"/>
      <c r="M715" s="15"/>
      <c r="N715" s="15"/>
      <c r="O715" s="15"/>
      <c r="P715" s="14"/>
      <c r="Q715" s="14"/>
      <c r="R715" s="14"/>
      <c r="S715" s="14"/>
      <c r="T715" s="14"/>
      <c r="U715" s="14"/>
      <c r="V715" s="14"/>
      <c r="W715" s="14"/>
      <c r="X715" s="14"/>
      <c r="Y715" s="13"/>
      <c r="Z715" s="44"/>
      <c r="AA715" s="43"/>
      <c r="AB715" s="13"/>
      <c r="AC715" s="13"/>
      <c r="AD715" s="13"/>
      <c r="AE715" s="13"/>
      <c r="AF715" s="13"/>
      <c r="AG715" s="13"/>
      <c r="AH715" s="13"/>
      <c r="AI715" s="13"/>
      <c r="AJ715" s="13"/>
      <c r="AK715" s="44"/>
    </row>
    <row r="716" spans="1:38" ht="12.75" customHeight="1">
      <c r="A716" s="41">
        <v>298</v>
      </c>
      <c r="B716" s="10">
        <v>1089</v>
      </c>
      <c r="C716" s="10" t="s">
        <v>2138</v>
      </c>
      <c r="D716" s="16">
        <v>369.31</v>
      </c>
      <c r="E716" s="20" t="s">
        <v>2139</v>
      </c>
      <c r="F716" s="20" t="s">
        <v>2140</v>
      </c>
      <c r="G716" s="12">
        <v>1</v>
      </c>
      <c r="H716" s="12">
        <v>30</v>
      </c>
      <c r="I716" s="16">
        <f>ROUND(G716,0)</f>
        <v>1</v>
      </c>
      <c r="J716" s="16">
        <f>ROUND(H716,0)</f>
        <v>30</v>
      </c>
      <c r="K716" s="18" t="str">
        <f>IF(I716=J716,"TAM",(CONCATENATE(G716,"/",H716)))</f>
        <v>1/30</v>
      </c>
      <c r="L716" s="29">
        <f>369.31*1/30</f>
        <v>12.310333333333332</v>
      </c>
      <c r="M716" s="30">
        <v>0</v>
      </c>
      <c r="N716" s="16" t="str">
        <f>IF(M716=0,"0",(O716*M716))</f>
        <v>0</v>
      </c>
      <c r="O716" s="16">
        <f>IF(W716=1,L716,((D716*G716/H716)-P716)/(1-V716)-S716-T716)</f>
        <v>12.310333333333334</v>
      </c>
      <c r="P716" s="16">
        <v>0</v>
      </c>
      <c r="Q716" s="16">
        <f>IF(U716=0,"0",O716*U716)</f>
        <v>4.1209140185492155</v>
      </c>
      <c r="R716" s="17">
        <f>IF(U716=0,(((D716*G716/H716)-P716-S716-T716)/(1-V716)),(((D716*G716/H716)-P716-S716-T716)/(1-V716))-((D716*G716/H716)-P716-S716-T716)*U716/(1-V716))</f>
        <v>8.189419314784118</v>
      </c>
      <c r="S716" s="12">
        <v>0</v>
      </c>
      <c r="T716" s="12">
        <v>0</v>
      </c>
      <c r="U716" s="12">
        <v>0.334752431714485</v>
      </c>
      <c r="V716" s="12">
        <v>0</v>
      </c>
      <c r="W716" s="28">
        <f>IF(V716&gt;U716,1,V716)</f>
        <v>0</v>
      </c>
      <c r="X716" s="12">
        <v>1</v>
      </c>
      <c r="Y716" s="16">
        <v>0</v>
      </c>
      <c r="Z716" s="42" t="str">
        <f>IF(OR(W716=1,W716=0),"0",(Q716-N716))</f>
        <v>0</v>
      </c>
      <c r="AA716" s="53" t="s">
        <v>2141</v>
      </c>
      <c r="AB716" s="16" t="s">
        <v>2143</v>
      </c>
      <c r="AC716" s="16">
        <v>8.19</v>
      </c>
      <c r="AD716" s="16">
        <v>606.35</v>
      </c>
      <c r="AE716" s="16">
        <f>ROUND(AC716*100,0)</f>
        <v>819</v>
      </c>
      <c r="AF716" s="16">
        <f>ROUND(AD716*100,0)</f>
        <v>60635</v>
      </c>
      <c r="AG716" s="19" t="str">
        <f>IF(AC716=AD716,"TAM",(CONCATENATE(AE716,"/",AF716)))</f>
        <v>819/60635</v>
      </c>
      <c r="AH716" s="11" t="s">
        <v>50</v>
      </c>
      <c r="AI716" s="21" t="s">
        <v>50</v>
      </c>
      <c r="AJ716" s="21" t="s">
        <v>2142</v>
      </c>
      <c r="AK716" s="54" t="s">
        <v>50</v>
      </c>
      <c r="AL716" s="1" t="s">
        <v>50</v>
      </c>
    </row>
    <row r="717" spans="1:37" ht="12.75" customHeight="1">
      <c r="A717" s="43"/>
      <c r="B717" s="13"/>
      <c r="C717" s="13"/>
      <c r="D717" s="31"/>
      <c r="E717" s="14" t="s">
        <v>50</v>
      </c>
      <c r="F717" s="14"/>
      <c r="G717" s="14"/>
      <c r="H717" s="14"/>
      <c r="I717" s="31"/>
      <c r="J717" s="31"/>
      <c r="K717" s="15"/>
      <c r="L717" s="15"/>
      <c r="M717" s="15"/>
      <c r="N717" s="15"/>
      <c r="O717" s="15"/>
      <c r="P717" s="14"/>
      <c r="Q717" s="14"/>
      <c r="R717" s="14"/>
      <c r="S717" s="14"/>
      <c r="T717" s="14"/>
      <c r="U717" s="14"/>
      <c r="V717" s="14"/>
      <c r="W717" s="14"/>
      <c r="X717" s="14"/>
      <c r="Y717" s="13"/>
      <c r="Z717" s="44"/>
      <c r="AA717" s="43"/>
      <c r="AB717" s="13"/>
      <c r="AC717" s="13"/>
      <c r="AD717" s="13"/>
      <c r="AE717" s="13"/>
      <c r="AF717" s="13"/>
      <c r="AG717" s="13"/>
      <c r="AH717" s="13"/>
      <c r="AI717" s="13"/>
      <c r="AJ717" s="13"/>
      <c r="AK717" s="44"/>
    </row>
    <row r="718" spans="1:38" ht="12.75" customHeight="1">
      <c r="A718" s="41">
        <v>297</v>
      </c>
      <c r="B718" s="10">
        <v>1089</v>
      </c>
      <c r="C718" s="10" t="s">
        <v>2144</v>
      </c>
      <c r="D718" s="16">
        <v>369.31</v>
      </c>
      <c r="E718" s="20" t="s">
        <v>2145</v>
      </c>
      <c r="F718" s="20" t="s">
        <v>2146</v>
      </c>
      <c r="G718" s="12">
        <v>1</v>
      </c>
      <c r="H718" s="12">
        <v>15</v>
      </c>
      <c r="I718" s="16">
        <f>ROUND(G718,0)</f>
        <v>1</v>
      </c>
      <c r="J718" s="16">
        <f>ROUND(H718,0)</f>
        <v>15</v>
      </c>
      <c r="K718" s="18" t="str">
        <f>IF(I718=J718,"TAM",(CONCATENATE(G718,"/",H718)))</f>
        <v>1/15</v>
      </c>
      <c r="L718" s="29">
        <f>369.31*1/15</f>
        <v>24.620666666666665</v>
      </c>
      <c r="M718" s="30">
        <v>0</v>
      </c>
      <c r="N718" s="16" t="str">
        <f>IF(M718=0,"0",(O718*M718))</f>
        <v>0</v>
      </c>
      <c r="O718" s="16">
        <f>IF(W718=1,L718,((D718*G718/H718)-P718)/(1-V718)-S718-T718)</f>
        <v>24.62066666666667</v>
      </c>
      <c r="P718" s="16">
        <v>0</v>
      </c>
      <c r="Q718" s="16">
        <f>IF(U718=0,"0",O718*U718)</f>
        <v>8.241828037098431</v>
      </c>
      <c r="R718" s="17">
        <f>IF(U718=0,(((D718*G718/H718)-P718-S718-T718)/(1-V718)),(((D718*G718/H718)-P718-S718-T718)/(1-V718))-((D718*G718/H718)-P718-S718-T718)*U718/(1-V718))</f>
        <v>16.378838629568236</v>
      </c>
      <c r="S718" s="12">
        <v>0</v>
      </c>
      <c r="T718" s="12">
        <v>0</v>
      </c>
      <c r="U718" s="12">
        <v>0.334752431714485</v>
      </c>
      <c r="V718" s="12">
        <v>0</v>
      </c>
      <c r="W718" s="28">
        <f>IF(V718&gt;U718,1,V718)</f>
        <v>0</v>
      </c>
      <c r="X718" s="12">
        <v>1</v>
      </c>
      <c r="Y718" s="16">
        <v>0</v>
      </c>
      <c r="Z718" s="42" t="str">
        <f>IF(OR(W718=1,W718=0),"0",(Q718-N718))</f>
        <v>0</v>
      </c>
      <c r="AA718" s="53" t="s">
        <v>2147</v>
      </c>
      <c r="AB718" s="16" t="s">
        <v>2149</v>
      </c>
      <c r="AC718" s="16">
        <v>16.38</v>
      </c>
      <c r="AD718" s="16">
        <v>606.35</v>
      </c>
      <c r="AE718" s="16">
        <f>ROUND(AC718*100,0)</f>
        <v>1638</v>
      </c>
      <c r="AF718" s="16">
        <f>ROUND(AD718*100,0)</f>
        <v>60635</v>
      </c>
      <c r="AG718" s="19" t="str">
        <f>IF(AC718=AD718,"TAM",(CONCATENATE(AE718,"/",AF718)))</f>
        <v>1638/60635</v>
      </c>
      <c r="AH718" s="11" t="s">
        <v>50</v>
      </c>
      <c r="AI718" s="21" t="s">
        <v>50</v>
      </c>
      <c r="AJ718" s="21" t="s">
        <v>2148</v>
      </c>
      <c r="AK718" s="54" t="s">
        <v>50</v>
      </c>
      <c r="AL718" s="1" t="s">
        <v>50</v>
      </c>
    </row>
    <row r="719" spans="1:37" ht="12.75" customHeight="1">
      <c r="A719" s="43"/>
      <c r="B719" s="13"/>
      <c r="C719" s="13"/>
      <c r="D719" s="31"/>
      <c r="E719" s="14" t="s">
        <v>50</v>
      </c>
      <c r="F719" s="14"/>
      <c r="G719" s="14"/>
      <c r="H719" s="14"/>
      <c r="I719" s="31"/>
      <c r="J719" s="31"/>
      <c r="K719" s="15"/>
      <c r="L719" s="15"/>
      <c r="M719" s="15"/>
      <c r="N719" s="15"/>
      <c r="O719" s="15"/>
      <c r="P719" s="14"/>
      <c r="Q719" s="14"/>
      <c r="R719" s="14"/>
      <c r="S719" s="14"/>
      <c r="T719" s="14"/>
      <c r="U719" s="14"/>
      <c r="V719" s="14"/>
      <c r="W719" s="14"/>
      <c r="X719" s="14"/>
      <c r="Y719" s="13"/>
      <c r="Z719" s="44"/>
      <c r="AA719" s="43"/>
      <c r="AB719" s="13"/>
      <c r="AC719" s="13"/>
      <c r="AD719" s="13"/>
      <c r="AE719" s="13"/>
      <c r="AF719" s="13"/>
      <c r="AG719" s="13"/>
      <c r="AH719" s="13"/>
      <c r="AI719" s="13"/>
      <c r="AJ719" s="13"/>
      <c r="AK719" s="44"/>
    </row>
    <row r="720" spans="1:38" ht="12.75" customHeight="1">
      <c r="A720" s="41">
        <v>299</v>
      </c>
      <c r="B720" s="10">
        <v>1089</v>
      </c>
      <c r="C720" s="10" t="s">
        <v>2150</v>
      </c>
      <c r="D720" s="16">
        <v>369.31</v>
      </c>
      <c r="E720" s="20" t="s">
        <v>2151</v>
      </c>
      <c r="F720" s="20" t="s">
        <v>2152</v>
      </c>
      <c r="G720" s="12">
        <v>1</v>
      </c>
      <c r="H720" s="12">
        <v>30</v>
      </c>
      <c r="I720" s="16">
        <f>ROUND(G720,0)</f>
        <v>1</v>
      </c>
      <c r="J720" s="16">
        <f>ROUND(H720,0)</f>
        <v>30</v>
      </c>
      <c r="K720" s="18" t="str">
        <f>IF(I720=J720,"TAM",(CONCATENATE(G720,"/",H720)))</f>
        <v>1/30</v>
      </c>
      <c r="L720" s="29">
        <f>369.31*1/30</f>
        <v>12.310333333333332</v>
      </c>
      <c r="M720" s="30">
        <v>0</v>
      </c>
      <c r="N720" s="16" t="str">
        <f>IF(M720=0,"0",(O720*M720))</f>
        <v>0</v>
      </c>
      <c r="O720" s="16">
        <f>IF(W720=1,L720,((D720*G720/H720)-P720)/(1-V720)-S720-T720)</f>
        <v>12.310333333333334</v>
      </c>
      <c r="P720" s="16">
        <v>0</v>
      </c>
      <c r="Q720" s="16">
        <f>IF(U720=0,"0",O720*U720)</f>
        <v>4.1209140185492155</v>
      </c>
      <c r="R720" s="17">
        <f>IF(U720=0,(((D720*G720/H720)-P720-S720-T720)/(1-V720)),(((D720*G720/H720)-P720-S720-T720)/(1-V720))-((D720*G720/H720)-P720-S720-T720)*U720/(1-V720))</f>
        <v>8.189419314784118</v>
      </c>
      <c r="S720" s="12">
        <v>0</v>
      </c>
      <c r="T720" s="12">
        <v>0</v>
      </c>
      <c r="U720" s="12">
        <v>0.334752431714485</v>
      </c>
      <c r="V720" s="12">
        <v>0</v>
      </c>
      <c r="W720" s="28">
        <f>IF(V720&gt;U720,1,V720)</f>
        <v>0</v>
      </c>
      <c r="X720" s="12">
        <v>1</v>
      </c>
      <c r="Y720" s="16">
        <v>0</v>
      </c>
      <c r="Z720" s="42" t="str">
        <f>IF(OR(W720=1,W720=0),"0",(Q720-N720))</f>
        <v>0</v>
      </c>
      <c r="AA720" s="53" t="s">
        <v>2153</v>
      </c>
      <c r="AB720" s="16" t="s">
        <v>2155</v>
      </c>
      <c r="AC720" s="16">
        <v>8.19</v>
      </c>
      <c r="AD720" s="16">
        <v>606.35</v>
      </c>
      <c r="AE720" s="16">
        <f>ROUND(AC720*100,0)</f>
        <v>819</v>
      </c>
      <c r="AF720" s="16">
        <f>ROUND(AD720*100,0)</f>
        <v>60635</v>
      </c>
      <c r="AG720" s="19" t="str">
        <f>IF(AC720=AD720,"TAM",(CONCATENATE(AE720,"/",AF720)))</f>
        <v>819/60635</v>
      </c>
      <c r="AH720" s="11" t="s">
        <v>50</v>
      </c>
      <c r="AI720" s="21" t="s">
        <v>50</v>
      </c>
      <c r="AJ720" s="21" t="s">
        <v>2154</v>
      </c>
      <c r="AK720" s="54" t="s">
        <v>50</v>
      </c>
      <c r="AL720" s="1" t="s">
        <v>50</v>
      </c>
    </row>
    <row r="721" spans="1:37" ht="12.75" customHeight="1">
      <c r="A721" s="43"/>
      <c r="B721" s="13"/>
      <c r="C721" s="13"/>
      <c r="D721" s="31"/>
      <c r="E721" s="14" t="s">
        <v>50</v>
      </c>
      <c r="F721" s="14"/>
      <c r="G721" s="14"/>
      <c r="H721" s="14"/>
      <c r="I721" s="31"/>
      <c r="J721" s="31"/>
      <c r="K721" s="15"/>
      <c r="L721" s="15"/>
      <c r="M721" s="15"/>
      <c r="N721" s="15"/>
      <c r="O721" s="15"/>
      <c r="P721" s="14"/>
      <c r="Q721" s="14"/>
      <c r="R721" s="14"/>
      <c r="S721" s="14"/>
      <c r="T721" s="14"/>
      <c r="U721" s="14"/>
      <c r="V721" s="14"/>
      <c r="W721" s="14"/>
      <c r="X721" s="14"/>
      <c r="Y721" s="13"/>
      <c r="Z721" s="44"/>
      <c r="AA721" s="43"/>
      <c r="AB721" s="13"/>
      <c r="AC721" s="13"/>
      <c r="AD721" s="13"/>
      <c r="AE721" s="13"/>
      <c r="AF721" s="13"/>
      <c r="AG721" s="13"/>
      <c r="AH721" s="13"/>
      <c r="AI721" s="13"/>
      <c r="AJ721" s="13"/>
      <c r="AK721" s="44"/>
    </row>
    <row r="722" spans="1:38" ht="12.75" customHeight="1">
      <c r="A722" s="41">
        <v>296</v>
      </c>
      <c r="B722" s="10">
        <v>1089</v>
      </c>
      <c r="C722" s="10" t="s">
        <v>2156</v>
      </c>
      <c r="D722" s="16">
        <v>369.31</v>
      </c>
      <c r="E722" s="20" t="s">
        <v>2157</v>
      </c>
      <c r="F722" s="20" t="s">
        <v>2158</v>
      </c>
      <c r="G722" s="12">
        <v>1</v>
      </c>
      <c r="H722" s="12">
        <v>15</v>
      </c>
      <c r="I722" s="16">
        <f>ROUND(G722,0)</f>
        <v>1</v>
      </c>
      <c r="J722" s="16">
        <f>ROUND(H722,0)</f>
        <v>15</v>
      </c>
      <c r="K722" s="18" t="str">
        <f>IF(I722=J722,"TAM",(CONCATENATE(G722,"/",H722)))</f>
        <v>1/15</v>
      </c>
      <c r="L722" s="29">
        <f>369.31*1/15</f>
        <v>24.620666666666665</v>
      </c>
      <c r="M722" s="30">
        <v>0</v>
      </c>
      <c r="N722" s="16" t="str">
        <f>IF(M722=0,"0",(O722*M722))</f>
        <v>0</v>
      </c>
      <c r="O722" s="16">
        <f>IF(W722=1,L722,((D722*G722/H722)-P722)/(1-V722)-S722-T722)</f>
        <v>24.62066666666667</v>
      </c>
      <c r="P722" s="16">
        <v>0</v>
      </c>
      <c r="Q722" s="16">
        <f>IF(U722=0,"0",O722*U722)</f>
        <v>8.241828037098431</v>
      </c>
      <c r="R722" s="17">
        <f>IF(U722=0,(((D722*G722/H722)-P722-S722-T722)/(1-V722)),(((D722*G722/H722)-P722-S722-T722)/(1-V722))-((D722*G722/H722)-P722-S722-T722)*U722/(1-V722))</f>
        <v>16.378838629568236</v>
      </c>
      <c r="S722" s="12">
        <v>0</v>
      </c>
      <c r="T722" s="12">
        <v>0</v>
      </c>
      <c r="U722" s="12">
        <v>0.334752431714485</v>
      </c>
      <c r="V722" s="12">
        <v>0</v>
      </c>
      <c r="W722" s="28">
        <f>IF(V722&gt;U722,1,V722)</f>
        <v>0</v>
      </c>
      <c r="X722" s="12">
        <v>1</v>
      </c>
      <c r="Y722" s="16">
        <v>0</v>
      </c>
      <c r="Z722" s="42" t="str">
        <f>IF(OR(W722=1,W722=0),"0",(Q722-N722))</f>
        <v>0</v>
      </c>
      <c r="AA722" s="53" t="s">
        <v>2159</v>
      </c>
      <c r="AB722" s="16" t="s">
        <v>2161</v>
      </c>
      <c r="AC722" s="16">
        <v>16.38</v>
      </c>
      <c r="AD722" s="16">
        <v>606.35</v>
      </c>
      <c r="AE722" s="16">
        <f>ROUND(AC722*100,0)</f>
        <v>1638</v>
      </c>
      <c r="AF722" s="16">
        <f>ROUND(AD722*100,0)</f>
        <v>60635</v>
      </c>
      <c r="AG722" s="19" t="str">
        <f>IF(AC722=AD722,"TAM",(CONCATENATE(AE722,"/",AF722)))</f>
        <v>1638/60635</v>
      </c>
      <c r="AH722" s="11" t="s">
        <v>50</v>
      </c>
      <c r="AI722" s="21" t="s">
        <v>50</v>
      </c>
      <c r="AJ722" s="21" t="s">
        <v>2160</v>
      </c>
      <c r="AK722" s="54" t="s">
        <v>50</v>
      </c>
      <c r="AL722" s="1" t="s">
        <v>50</v>
      </c>
    </row>
    <row r="723" spans="1:37" ht="12.75" customHeight="1">
      <c r="A723" s="43"/>
      <c r="B723" s="13"/>
      <c r="C723" s="13"/>
      <c r="D723" s="31"/>
      <c r="E723" s="14" t="s">
        <v>50</v>
      </c>
      <c r="F723" s="14"/>
      <c r="G723" s="14"/>
      <c r="H723" s="14"/>
      <c r="I723" s="31"/>
      <c r="J723" s="31"/>
      <c r="K723" s="15"/>
      <c r="L723" s="15"/>
      <c r="M723" s="15"/>
      <c r="N723" s="15"/>
      <c r="O723" s="15"/>
      <c r="P723" s="14"/>
      <c r="Q723" s="14"/>
      <c r="R723" s="14"/>
      <c r="S723" s="14"/>
      <c r="T723" s="14"/>
      <c r="U723" s="14"/>
      <c r="V723" s="14"/>
      <c r="W723" s="14"/>
      <c r="X723" s="14"/>
      <c r="Y723" s="13"/>
      <c r="Z723" s="44"/>
      <c r="AA723" s="43"/>
      <c r="AB723" s="13"/>
      <c r="AC723" s="13"/>
      <c r="AD723" s="13"/>
      <c r="AE723" s="13"/>
      <c r="AF723" s="13"/>
      <c r="AG723" s="13"/>
      <c r="AH723" s="13"/>
      <c r="AI723" s="13"/>
      <c r="AJ723" s="13"/>
      <c r="AK723" s="44"/>
    </row>
    <row r="724" spans="1:38" ht="12.75" customHeight="1">
      <c r="A724" s="41">
        <v>295</v>
      </c>
      <c r="B724" s="10">
        <v>1089</v>
      </c>
      <c r="C724" s="10" t="s">
        <v>2162</v>
      </c>
      <c r="D724" s="16">
        <v>369.31</v>
      </c>
      <c r="E724" s="20" t="s">
        <v>2163</v>
      </c>
      <c r="F724" s="20" t="s">
        <v>2164</v>
      </c>
      <c r="G724" s="12">
        <v>1</v>
      </c>
      <c r="H724" s="12">
        <v>15</v>
      </c>
      <c r="I724" s="16">
        <f>ROUND(G724,0)</f>
        <v>1</v>
      </c>
      <c r="J724" s="16">
        <f>ROUND(H724,0)</f>
        <v>15</v>
      </c>
      <c r="K724" s="18" t="str">
        <f>IF(I724=J724,"TAM",(CONCATENATE(G724,"/",H724)))</f>
        <v>1/15</v>
      </c>
      <c r="L724" s="29">
        <f>369.31*1/15</f>
        <v>24.620666666666665</v>
      </c>
      <c r="M724" s="30">
        <v>0</v>
      </c>
      <c r="N724" s="16" t="str">
        <f>IF(M724=0,"0",(O724*M724))</f>
        <v>0</v>
      </c>
      <c r="O724" s="16">
        <f>IF(W724=1,L724,((D724*G724/H724)-P724)/(1-V724)-S724-T724)</f>
        <v>24.62066666666667</v>
      </c>
      <c r="P724" s="16">
        <v>0</v>
      </c>
      <c r="Q724" s="16">
        <f>IF(U724=0,"0",O724*U724)</f>
        <v>8.241828037098431</v>
      </c>
      <c r="R724" s="17">
        <f>IF(U724=0,(((D724*G724/H724)-P724-S724-T724)/(1-V724)),(((D724*G724/H724)-P724-S724-T724)/(1-V724))-((D724*G724/H724)-P724-S724-T724)*U724/(1-V724))</f>
        <v>16.378838629568236</v>
      </c>
      <c r="S724" s="12">
        <v>0</v>
      </c>
      <c r="T724" s="12">
        <v>0</v>
      </c>
      <c r="U724" s="12">
        <v>0.334752431714485</v>
      </c>
      <c r="V724" s="12">
        <v>0</v>
      </c>
      <c r="W724" s="28">
        <f>IF(V724&gt;U724,1,V724)</f>
        <v>0</v>
      </c>
      <c r="X724" s="12">
        <v>1</v>
      </c>
      <c r="Y724" s="16">
        <v>0</v>
      </c>
      <c r="Z724" s="42" t="str">
        <f>IF(OR(W724=1,W724=0),"0",(Q724-N724))</f>
        <v>0</v>
      </c>
      <c r="AA724" s="53" t="s">
        <v>2165</v>
      </c>
      <c r="AB724" s="16" t="s">
        <v>2167</v>
      </c>
      <c r="AC724" s="16">
        <v>16.38</v>
      </c>
      <c r="AD724" s="16">
        <v>606.35</v>
      </c>
      <c r="AE724" s="16">
        <f>ROUND(AC724*100,0)</f>
        <v>1638</v>
      </c>
      <c r="AF724" s="16">
        <f>ROUND(AD724*100,0)</f>
        <v>60635</v>
      </c>
      <c r="AG724" s="19" t="str">
        <f>IF(AC724=AD724,"TAM",(CONCATENATE(AE724,"/",AF724)))</f>
        <v>1638/60635</v>
      </c>
      <c r="AH724" s="11" t="s">
        <v>50</v>
      </c>
      <c r="AI724" s="21" t="s">
        <v>50</v>
      </c>
      <c r="AJ724" s="21" t="s">
        <v>2166</v>
      </c>
      <c r="AK724" s="54" t="s">
        <v>50</v>
      </c>
      <c r="AL724" s="1" t="s">
        <v>50</v>
      </c>
    </row>
    <row r="725" spans="1:37" ht="12.75" customHeight="1">
      <c r="A725" s="43"/>
      <c r="B725" s="13"/>
      <c r="C725" s="13"/>
      <c r="D725" s="31"/>
      <c r="E725" s="14" t="s">
        <v>50</v>
      </c>
      <c r="F725" s="14"/>
      <c r="G725" s="14"/>
      <c r="H725" s="14"/>
      <c r="I725" s="31"/>
      <c r="J725" s="31"/>
      <c r="K725" s="15"/>
      <c r="L725" s="15"/>
      <c r="M725" s="15"/>
      <c r="N725" s="15"/>
      <c r="O725" s="15"/>
      <c r="P725" s="14"/>
      <c r="Q725" s="14"/>
      <c r="R725" s="14"/>
      <c r="S725" s="14"/>
      <c r="T725" s="14"/>
      <c r="U725" s="14"/>
      <c r="V725" s="14"/>
      <c r="W725" s="14"/>
      <c r="X725" s="14"/>
      <c r="Y725" s="13"/>
      <c r="Z725" s="44"/>
      <c r="AA725" s="43"/>
      <c r="AB725" s="13"/>
      <c r="AC725" s="13"/>
      <c r="AD725" s="13"/>
      <c r="AE725" s="13"/>
      <c r="AF725" s="13"/>
      <c r="AG725" s="13"/>
      <c r="AH725" s="13"/>
      <c r="AI725" s="13"/>
      <c r="AJ725" s="13"/>
      <c r="AK725" s="44"/>
    </row>
    <row r="726" spans="1:38" ht="12.75" customHeight="1">
      <c r="A726" s="41">
        <v>454</v>
      </c>
      <c r="B726" s="10">
        <v>1137</v>
      </c>
      <c r="C726" s="10" t="s">
        <v>2168</v>
      </c>
      <c r="D726" s="16">
        <v>1635.97</v>
      </c>
      <c r="E726" s="20" t="s">
        <v>2169</v>
      </c>
      <c r="F726" s="20" t="s">
        <v>2170</v>
      </c>
      <c r="G726" s="12">
        <v>1</v>
      </c>
      <c r="H726" s="12">
        <v>3</v>
      </c>
      <c r="I726" s="16">
        <f>ROUND(G726,0)</f>
        <v>1</v>
      </c>
      <c r="J726" s="16">
        <f>ROUND(H726,0)</f>
        <v>3</v>
      </c>
      <c r="K726" s="18" t="str">
        <f>IF(I726=J726,"TAM",(CONCATENATE(G726,"/",H726)))</f>
        <v>1/3</v>
      </c>
      <c r="L726" s="29">
        <f>1635.97*1/3</f>
        <v>545.3233333333333</v>
      </c>
      <c r="M726" s="30">
        <v>0</v>
      </c>
      <c r="N726" s="16" t="str">
        <f>IF(M726=0,"0",(O726*M726))</f>
        <v>0</v>
      </c>
      <c r="O726" s="16">
        <f>IF(W726=1,L726,((D726*G726/H726)-P726)/(1-V726)-S726-T726)</f>
        <v>545.3233333333334</v>
      </c>
      <c r="P726" s="16">
        <v>0</v>
      </c>
      <c r="Q726" s="16">
        <f>IF(U726=0,"0",O726*U726)</f>
        <v>182.548311903982</v>
      </c>
      <c r="R726" s="17">
        <f>IF(U726=0,(((D726*G726/H726)-P726-S726-T726)/(1-V726)),(((D726*G726/H726)-P726-S726-T726)/(1-V726))-((D726*G726/H726)-P726-S726-T726)*U726/(1-V726))</f>
        <v>362.77502142935134</v>
      </c>
      <c r="S726" s="12">
        <v>0</v>
      </c>
      <c r="T726" s="12">
        <v>0</v>
      </c>
      <c r="U726" s="12">
        <v>0.334752431714485</v>
      </c>
      <c r="V726" s="12">
        <v>0</v>
      </c>
      <c r="W726" s="28">
        <f>IF(V726&gt;U726,1,V726)</f>
        <v>0</v>
      </c>
      <c r="X726" s="12">
        <v>1</v>
      </c>
      <c r="Y726" s="16">
        <v>0</v>
      </c>
      <c r="Z726" s="42" t="str">
        <f>IF(OR(W726=1,W726=0),"0",(Q726-N726))</f>
        <v>0</v>
      </c>
      <c r="AA726" s="53" t="s">
        <v>2171</v>
      </c>
      <c r="AB726" s="16" t="s">
        <v>2173</v>
      </c>
      <c r="AC726" s="16">
        <v>32.47</v>
      </c>
      <c r="AD726" s="16">
        <v>606.35</v>
      </c>
      <c r="AE726" s="16">
        <f>ROUND(AC726*100,0)</f>
        <v>3247</v>
      </c>
      <c r="AF726" s="16">
        <f>ROUND(AD726*100,0)</f>
        <v>60635</v>
      </c>
      <c r="AG726" s="19" t="str">
        <f>IF(AC726=AD726,"TAM",(CONCATENATE(AE726,"/",AF726)))</f>
        <v>3247/60635</v>
      </c>
      <c r="AH726" s="11" t="s">
        <v>50</v>
      </c>
      <c r="AI726" s="21" t="s">
        <v>50</v>
      </c>
      <c r="AJ726" s="21" t="s">
        <v>2172</v>
      </c>
      <c r="AK726" s="54" t="s">
        <v>50</v>
      </c>
      <c r="AL726" s="1" t="s">
        <v>50</v>
      </c>
    </row>
    <row r="727" spans="1:37" ht="12.75" customHeight="1">
      <c r="A727" s="43"/>
      <c r="B727" s="13"/>
      <c r="C727" s="13"/>
      <c r="D727" s="31"/>
      <c r="E727" s="14" t="s">
        <v>50</v>
      </c>
      <c r="F727" s="14"/>
      <c r="G727" s="14"/>
      <c r="H727" s="14"/>
      <c r="I727" s="31"/>
      <c r="J727" s="31"/>
      <c r="K727" s="15"/>
      <c r="L727" s="15"/>
      <c r="M727" s="15"/>
      <c r="N727" s="15"/>
      <c r="O727" s="15"/>
      <c r="P727" s="14"/>
      <c r="Q727" s="14"/>
      <c r="R727" s="14"/>
      <c r="S727" s="14"/>
      <c r="T727" s="14"/>
      <c r="U727" s="14"/>
      <c r="V727" s="14"/>
      <c r="W727" s="14"/>
      <c r="X727" s="14"/>
      <c r="Y727" s="13"/>
      <c r="Z727" s="44"/>
      <c r="AA727" s="43"/>
      <c r="AB727" s="13"/>
      <c r="AC727" s="13"/>
      <c r="AD727" s="13"/>
      <c r="AE727" s="13"/>
      <c r="AF727" s="13"/>
      <c r="AG727" s="13"/>
      <c r="AH727" s="13"/>
      <c r="AI727" s="13"/>
      <c r="AJ727" s="13"/>
      <c r="AK727" s="44"/>
    </row>
    <row r="728" spans="1:38" ht="12.75" customHeight="1">
      <c r="A728" s="41">
        <v>452</v>
      </c>
      <c r="B728" s="10">
        <v>1137</v>
      </c>
      <c r="C728" s="10" t="s">
        <v>2174</v>
      </c>
      <c r="D728" s="16">
        <v>1635.97</v>
      </c>
      <c r="E728" s="20" t="s">
        <v>2175</v>
      </c>
      <c r="F728" s="20" t="s">
        <v>2176</v>
      </c>
      <c r="G728" s="12">
        <v>1</v>
      </c>
      <c r="H728" s="12">
        <v>3</v>
      </c>
      <c r="I728" s="16">
        <f>ROUND(G728,0)</f>
        <v>1</v>
      </c>
      <c r="J728" s="16">
        <f>ROUND(H728,0)</f>
        <v>3</v>
      </c>
      <c r="K728" s="18" t="str">
        <f>IF(I728=J728,"TAM",(CONCATENATE(G728,"/",H728)))</f>
        <v>1/3</v>
      </c>
      <c r="L728" s="29">
        <f>1635.97*1/3</f>
        <v>545.3233333333333</v>
      </c>
      <c r="M728" s="30">
        <v>0</v>
      </c>
      <c r="N728" s="16" t="str">
        <f>IF(M728=0,"0",(O728*M728))</f>
        <v>0</v>
      </c>
      <c r="O728" s="16">
        <f>IF(W728=1,L728,((D728*G728/H728)-P728)/(1-V728)-S728-T728)</f>
        <v>545.3233333333334</v>
      </c>
      <c r="P728" s="16">
        <v>0</v>
      </c>
      <c r="Q728" s="16">
        <f>IF(U728=0,"0",O728*U728)</f>
        <v>182.548311903982</v>
      </c>
      <c r="R728" s="17">
        <f>IF(U728=0,(((D728*G728/H728)-P728-S728-T728)/(1-V728)),(((D728*G728/H728)-P728-S728-T728)/(1-V728))-((D728*G728/H728)-P728-S728-T728)*U728/(1-V728))</f>
        <v>362.77502142935134</v>
      </c>
      <c r="S728" s="12">
        <v>0</v>
      </c>
      <c r="T728" s="12">
        <v>0</v>
      </c>
      <c r="U728" s="12">
        <v>0.334752431714485</v>
      </c>
      <c r="V728" s="12">
        <v>0</v>
      </c>
      <c r="W728" s="28">
        <f>IF(V728&gt;U728,1,V728)</f>
        <v>0</v>
      </c>
      <c r="X728" s="12">
        <v>1</v>
      </c>
      <c r="Y728" s="16">
        <v>0</v>
      </c>
      <c r="Z728" s="42" t="str">
        <f>IF(OR(W728=1,W728=0),"0",(Q728-N728))</f>
        <v>0</v>
      </c>
      <c r="AA728" s="53" t="s">
        <v>2177</v>
      </c>
      <c r="AB728" s="16" t="s">
        <v>2179</v>
      </c>
      <c r="AC728" s="16">
        <v>32.48</v>
      </c>
      <c r="AD728" s="16">
        <v>606.35</v>
      </c>
      <c r="AE728" s="16">
        <f>ROUND(AC728*100,0)</f>
        <v>3248</v>
      </c>
      <c r="AF728" s="16">
        <f>ROUND(AD728*100,0)</f>
        <v>60635</v>
      </c>
      <c r="AG728" s="19" t="str">
        <f>IF(AC728=AD728,"TAM",(CONCATENATE(AE728,"/",AF728)))</f>
        <v>3248/60635</v>
      </c>
      <c r="AH728" s="11" t="s">
        <v>50</v>
      </c>
      <c r="AI728" s="21" t="s">
        <v>50</v>
      </c>
      <c r="AJ728" s="21" t="s">
        <v>2178</v>
      </c>
      <c r="AK728" s="54" t="s">
        <v>50</v>
      </c>
      <c r="AL728" s="1" t="s">
        <v>50</v>
      </c>
    </row>
    <row r="729" spans="1:37" ht="12.75" customHeight="1">
      <c r="A729" s="43"/>
      <c r="B729" s="13"/>
      <c r="C729" s="13"/>
      <c r="D729" s="31"/>
      <c r="E729" s="14" t="s">
        <v>50</v>
      </c>
      <c r="F729" s="14"/>
      <c r="G729" s="14"/>
      <c r="H729" s="14"/>
      <c r="I729" s="31"/>
      <c r="J729" s="31"/>
      <c r="K729" s="15"/>
      <c r="L729" s="15"/>
      <c r="M729" s="15"/>
      <c r="N729" s="15"/>
      <c r="O729" s="15"/>
      <c r="P729" s="14"/>
      <c r="Q729" s="14"/>
      <c r="R729" s="14"/>
      <c r="S729" s="14"/>
      <c r="T729" s="14"/>
      <c r="U729" s="14"/>
      <c r="V729" s="14"/>
      <c r="W729" s="14"/>
      <c r="X729" s="14"/>
      <c r="Y729" s="13"/>
      <c r="Z729" s="44"/>
      <c r="AA729" s="43"/>
      <c r="AB729" s="13"/>
      <c r="AC729" s="13"/>
      <c r="AD729" s="13"/>
      <c r="AE729" s="13"/>
      <c r="AF729" s="13"/>
      <c r="AG729" s="13"/>
      <c r="AH729" s="13"/>
      <c r="AI729" s="13"/>
      <c r="AJ729" s="13"/>
      <c r="AK729" s="44"/>
    </row>
    <row r="730" spans="1:38" ht="12.75" customHeight="1">
      <c r="A730" s="41">
        <v>453</v>
      </c>
      <c r="B730" s="10">
        <v>1137</v>
      </c>
      <c r="C730" s="10" t="s">
        <v>2180</v>
      </c>
      <c r="D730" s="16">
        <v>1635.97</v>
      </c>
      <c r="E730" s="20" t="s">
        <v>2181</v>
      </c>
      <c r="F730" s="20" t="s">
        <v>2182</v>
      </c>
      <c r="G730" s="12">
        <v>1</v>
      </c>
      <c r="H730" s="12">
        <v>3</v>
      </c>
      <c r="I730" s="16">
        <f>ROUND(G730,0)</f>
        <v>1</v>
      </c>
      <c r="J730" s="16">
        <f>ROUND(H730,0)</f>
        <v>3</v>
      </c>
      <c r="K730" s="18" t="str">
        <f>IF(I730=J730,"TAM",(CONCATENATE(G730,"/",H730)))</f>
        <v>1/3</v>
      </c>
      <c r="L730" s="29">
        <f>1635.97*1/3</f>
        <v>545.3233333333333</v>
      </c>
      <c r="M730" s="30">
        <v>0</v>
      </c>
      <c r="N730" s="16" t="str">
        <f>IF(M730=0,"0",(O730*M730))</f>
        <v>0</v>
      </c>
      <c r="O730" s="16">
        <f>IF(W730=1,L730,((D730*G730/H730)-P730)/(1-V730)-S730-T730)</f>
        <v>545.3233333333334</v>
      </c>
      <c r="P730" s="16">
        <v>0</v>
      </c>
      <c r="Q730" s="16">
        <f>IF(U730=0,"0",O730*U730)</f>
        <v>182.548311903982</v>
      </c>
      <c r="R730" s="17">
        <f>IF(U730=0,(((D730*G730/H730)-P730-S730-T730)/(1-V730)),(((D730*G730/H730)-P730-S730-T730)/(1-V730))-((D730*G730/H730)-P730-S730-T730)*U730/(1-V730))</f>
        <v>362.77502142935134</v>
      </c>
      <c r="S730" s="12">
        <v>0</v>
      </c>
      <c r="T730" s="12">
        <v>0</v>
      </c>
      <c r="U730" s="12">
        <v>0.334752431714485</v>
      </c>
      <c r="V730" s="12">
        <v>0</v>
      </c>
      <c r="W730" s="28">
        <f>IF(V730&gt;U730,1,V730)</f>
        <v>0</v>
      </c>
      <c r="X730" s="12">
        <v>1</v>
      </c>
      <c r="Y730" s="16">
        <v>0</v>
      </c>
      <c r="Z730" s="42" t="str">
        <f>IF(OR(W730=1,W730=0),"0",(Q730-N730))</f>
        <v>0</v>
      </c>
      <c r="AA730" s="53" t="s">
        <v>2183</v>
      </c>
      <c r="AB730" s="16" t="s">
        <v>2185</v>
      </c>
      <c r="AC730" s="16">
        <v>32.49</v>
      </c>
      <c r="AD730" s="16">
        <v>606.35</v>
      </c>
      <c r="AE730" s="16">
        <f>ROUND(AC730*100,0)</f>
        <v>3249</v>
      </c>
      <c r="AF730" s="16">
        <f>ROUND(AD730*100,0)</f>
        <v>60635</v>
      </c>
      <c r="AG730" s="19" t="str">
        <f>IF(AC730=AD730,"TAM",(CONCATENATE(AE730,"/",AF730)))</f>
        <v>3249/60635</v>
      </c>
      <c r="AH730" s="11" t="s">
        <v>50</v>
      </c>
      <c r="AI730" s="21" t="s">
        <v>50</v>
      </c>
      <c r="AJ730" s="21" t="s">
        <v>2184</v>
      </c>
      <c r="AK730" s="54" t="s">
        <v>50</v>
      </c>
      <c r="AL730" s="1" t="s">
        <v>50</v>
      </c>
    </row>
    <row r="731" spans="1:37" ht="12.75" customHeight="1">
      <c r="A731" s="43"/>
      <c r="B731" s="13"/>
      <c r="C731" s="13"/>
      <c r="D731" s="31"/>
      <c r="E731" s="14" t="s">
        <v>50</v>
      </c>
      <c r="F731" s="14"/>
      <c r="G731" s="14"/>
      <c r="H731" s="14"/>
      <c r="I731" s="31"/>
      <c r="J731" s="31"/>
      <c r="K731" s="15"/>
      <c r="L731" s="15"/>
      <c r="M731" s="15"/>
      <c r="N731" s="15"/>
      <c r="O731" s="15"/>
      <c r="P731" s="14"/>
      <c r="Q731" s="14"/>
      <c r="R731" s="14"/>
      <c r="S731" s="14"/>
      <c r="T731" s="14"/>
      <c r="U731" s="14"/>
      <c r="V731" s="14"/>
      <c r="W731" s="14"/>
      <c r="X731" s="14"/>
      <c r="Y731" s="13"/>
      <c r="Z731" s="44"/>
      <c r="AA731" s="43"/>
      <c r="AB731" s="13"/>
      <c r="AC731" s="13"/>
      <c r="AD731" s="13"/>
      <c r="AE731" s="13"/>
      <c r="AF731" s="13"/>
      <c r="AG731" s="13"/>
      <c r="AH731" s="13"/>
      <c r="AI731" s="13"/>
      <c r="AJ731" s="13"/>
      <c r="AK731" s="44"/>
    </row>
    <row r="732" spans="1:38" ht="12.75" customHeight="1">
      <c r="A732" s="41">
        <v>261</v>
      </c>
      <c r="B732" s="10">
        <v>1077</v>
      </c>
      <c r="C732" s="10" t="s">
        <v>2186</v>
      </c>
      <c r="D732" s="16">
        <v>926.33</v>
      </c>
      <c r="E732" s="20" t="s">
        <v>2187</v>
      </c>
      <c r="F732" s="20" t="s">
        <v>2188</v>
      </c>
      <c r="G732" s="12">
        <v>1</v>
      </c>
      <c r="H732" s="12">
        <v>1</v>
      </c>
      <c r="I732" s="16">
        <f>ROUND(G732,0)</f>
        <v>1</v>
      </c>
      <c r="J732" s="16">
        <f>ROUND(H732,0)</f>
        <v>1</v>
      </c>
      <c r="K732" s="18" t="str">
        <f>IF(I732=J732,"TAM",(CONCATENATE(G732,"/",H732)))</f>
        <v>TAM</v>
      </c>
      <c r="L732" s="29">
        <f>926.33*1/1</f>
        <v>926.33</v>
      </c>
      <c r="M732" s="30">
        <v>0</v>
      </c>
      <c r="N732" s="16" t="str">
        <f>IF(M732=0,"0",(O732*M732))</f>
        <v>0</v>
      </c>
      <c r="O732" s="16">
        <f>IF(W732=1,L732,((D732*G732/H732)-P732)/(1-V732)-S732-T732)</f>
        <v>926.33</v>
      </c>
      <c r="P732" s="16">
        <v>0</v>
      </c>
      <c r="Q732" s="16">
        <f>IF(U732=0,"0",O732*U732)</f>
        <v>310.0912200700789</v>
      </c>
      <c r="R732" s="17">
        <f>IF(U732=0,(((D732*G732/H732)-P732-S732-T732)/(1-V732)),(((D732*G732/H732)-P732-S732-T732)/(1-V732))-((D732*G732/H732)-P732-S732-T732)*U732/(1-V732))</f>
        <v>616.2387799299211</v>
      </c>
      <c r="S732" s="12">
        <v>0</v>
      </c>
      <c r="T732" s="12">
        <v>0</v>
      </c>
      <c r="U732" s="12">
        <v>0.334752431714485</v>
      </c>
      <c r="V732" s="12">
        <v>0</v>
      </c>
      <c r="W732" s="28">
        <f>IF(V732&gt;U732,1,V732)</f>
        <v>0</v>
      </c>
      <c r="X732" s="12">
        <v>1</v>
      </c>
      <c r="Y732" s="16">
        <v>0</v>
      </c>
      <c r="Z732" s="42" t="str">
        <f>IF(OR(W732=1,W732=0),"0",(Q732-N732))</f>
        <v>0</v>
      </c>
      <c r="AA732" s="53" t="s">
        <v>2189</v>
      </c>
      <c r="AB732" s="16" t="s">
        <v>2191</v>
      </c>
      <c r="AC732" s="16">
        <v>616.24</v>
      </c>
      <c r="AD732" s="16">
        <v>616.24</v>
      </c>
      <c r="AE732" s="16">
        <f>ROUND(AC732*100,0)</f>
        <v>61624</v>
      </c>
      <c r="AF732" s="16">
        <f>ROUND(AD732*100,0)</f>
        <v>61624</v>
      </c>
      <c r="AG732" s="19" t="str">
        <f>IF(AC732=AD732,"TAM",(CONCATENATE(AE732,"/",AF732)))</f>
        <v>TAM</v>
      </c>
      <c r="AH732" s="11" t="s">
        <v>50</v>
      </c>
      <c r="AI732" s="21" t="s">
        <v>50</v>
      </c>
      <c r="AJ732" s="21" t="s">
        <v>2190</v>
      </c>
      <c r="AK732" s="54" t="s">
        <v>50</v>
      </c>
      <c r="AL732" s="1" t="s">
        <v>50</v>
      </c>
    </row>
    <row r="733" spans="1:37" ht="12.75" customHeight="1">
      <c r="A733" s="43"/>
      <c r="B733" s="13"/>
      <c r="C733" s="13"/>
      <c r="D733" s="31"/>
      <c r="E733" s="14" t="s">
        <v>50</v>
      </c>
      <c r="F733" s="14"/>
      <c r="G733" s="14"/>
      <c r="H733" s="14"/>
      <c r="I733" s="31"/>
      <c r="J733" s="31"/>
      <c r="K733" s="15"/>
      <c r="L733" s="15"/>
      <c r="M733" s="15"/>
      <c r="N733" s="15"/>
      <c r="O733" s="15"/>
      <c r="P733" s="14"/>
      <c r="Q733" s="14"/>
      <c r="R733" s="14"/>
      <c r="S733" s="14"/>
      <c r="T733" s="14"/>
      <c r="U733" s="14"/>
      <c r="V733" s="14"/>
      <c r="W733" s="14"/>
      <c r="X733" s="14"/>
      <c r="Y733" s="13"/>
      <c r="Z733" s="44"/>
      <c r="AA733" s="43"/>
      <c r="AB733" s="13"/>
      <c r="AC733" s="13"/>
      <c r="AD733" s="13"/>
      <c r="AE733" s="13"/>
      <c r="AF733" s="13"/>
      <c r="AG733" s="13"/>
      <c r="AH733" s="13"/>
      <c r="AI733" s="13"/>
      <c r="AJ733" s="13"/>
      <c r="AK733" s="44"/>
    </row>
    <row r="734" spans="1:38" ht="12.75" customHeight="1">
      <c r="A734" s="41">
        <v>263</v>
      </c>
      <c r="B734" s="10">
        <v>1079</v>
      </c>
      <c r="C734" s="10" t="s">
        <v>2192</v>
      </c>
      <c r="D734" s="16">
        <v>324.64</v>
      </c>
      <c r="E734" s="20" t="s">
        <v>2193</v>
      </c>
      <c r="F734" s="20" t="s">
        <v>2194</v>
      </c>
      <c r="G734" s="12">
        <v>6</v>
      </c>
      <c r="H734" s="12">
        <v>24</v>
      </c>
      <c r="I734" s="16">
        <f>ROUND(G734,0)</f>
        <v>6</v>
      </c>
      <c r="J734" s="16">
        <f>ROUND(H734,0)</f>
        <v>24</v>
      </c>
      <c r="K734" s="18" t="str">
        <f>IF(I734=J734,"TAM",(CONCATENATE(G734,"/",H734)))</f>
        <v>6/24</v>
      </c>
      <c r="L734" s="29">
        <f>324.64*6/24</f>
        <v>81.16</v>
      </c>
      <c r="M734" s="30">
        <v>0</v>
      </c>
      <c r="N734" s="16" t="str">
        <f>IF(M734=0,"0",(O734*M734))</f>
        <v>0</v>
      </c>
      <c r="O734" s="16">
        <f>IF(W734=1,L734,((D734*G734/H734)-P734)/(1-V734)-S734-T734)</f>
        <v>81.16</v>
      </c>
      <c r="P734" s="16">
        <v>0</v>
      </c>
      <c r="Q734" s="16">
        <f>IF(U734=0,"0",O734*U734)</f>
        <v>27.1685073579476</v>
      </c>
      <c r="R734" s="17">
        <f>IF(U734=0,(((D734*G734/H734)-P734-S734-T734)/(1-V734)),(((D734*G734/H734)-P734-S734-T734)/(1-V734))-((D734*G734/H734)-P734-S734-T734)*U734/(1-V734))</f>
        <v>53.99149264205239</v>
      </c>
      <c r="S734" s="12">
        <v>0</v>
      </c>
      <c r="T734" s="12">
        <v>0</v>
      </c>
      <c r="U734" s="12">
        <v>0.334752431714485</v>
      </c>
      <c r="V734" s="12">
        <v>0</v>
      </c>
      <c r="W734" s="28">
        <f>IF(V734&gt;U734,1,V734)</f>
        <v>0</v>
      </c>
      <c r="X734" s="12">
        <v>1</v>
      </c>
      <c r="Y734" s="16">
        <v>0</v>
      </c>
      <c r="Z734" s="42" t="str">
        <f>IF(OR(W734=1,W734=0),"0",(Q734-N734))</f>
        <v>0</v>
      </c>
      <c r="AA734" s="53" t="s">
        <v>2195</v>
      </c>
      <c r="AB734" s="16" t="s">
        <v>2197</v>
      </c>
      <c r="AC734" s="16">
        <v>54</v>
      </c>
      <c r="AD734" s="16">
        <v>452.73</v>
      </c>
      <c r="AE734" s="16">
        <f>ROUND(AC734*100,0)</f>
        <v>5400</v>
      </c>
      <c r="AF734" s="16">
        <f>ROUND(AD734*100,0)</f>
        <v>45273</v>
      </c>
      <c r="AG734" s="19" t="str">
        <f>IF(AC734=AD734,"TAM",(CONCATENATE(AE734,"/",AF734)))</f>
        <v>5400/45273</v>
      </c>
      <c r="AH734" s="11" t="s">
        <v>50</v>
      </c>
      <c r="AI734" s="21" t="s">
        <v>50</v>
      </c>
      <c r="AJ734" s="21" t="s">
        <v>2196</v>
      </c>
      <c r="AK734" s="54" t="s">
        <v>50</v>
      </c>
      <c r="AL734" s="1" t="s">
        <v>50</v>
      </c>
    </row>
    <row r="735" spans="1:37" ht="12.75" customHeight="1">
      <c r="A735" s="43"/>
      <c r="B735" s="13"/>
      <c r="C735" s="13"/>
      <c r="D735" s="31"/>
      <c r="E735" s="14" t="s">
        <v>50</v>
      </c>
      <c r="F735" s="14"/>
      <c r="G735" s="14"/>
      <c r="H735" s="14"/>
      <c r="I735" s="31"/>
      <c r="J735" s="31"/>
      <c r="K735" s="15"/>
      <c r="L735" s="15"/>
      <c r="M735" s="15"/>
      <c r="N735" s="15"/>
      <c r="O735" s="15"/>
      <c r="P735" s="14"/>
      <c r="Q735" s="14"/>
      <c r="R735" s="14"/>
      <c r="S735" s="14"/>
      <c r="T735" s="14"/>
      <c r="U735" s="14"/>
      <c r="V735" s="14"/>
      <c r="W735" s="14"/>
      <c r="X735" s="14"/>
      <c r="Y735" s="13"/>
      <c r="Z735" s="44"/>
      <c r="AA735" s="43"/>
      <c r="AB735" s="13"/>
      <c r="AC735" s="13"/>
      <c r="AD735" s="13"/>
      <c r="AE735" s="13"/>
      <c r="AF735" s="13"/>
      <c r="AG735" s="13"/>
      <c r="AH735" s="13"/>
      <c r="AI735" s="13"/>
      <c r="AJ735" s="13"/>
      <c r="AK735" s="44"/>
    </row>
    <row r="736" spans="1:38" ht="12.75" customHeight="1">
      <c r="A736" s="41">
        <v>265</v>
      </c>
      <c r="B736" s="10">
        <v>1079</v>
      </c>
      <c r="C736" s="10" t="s">
        <v>2198</v>
      </c>
      <c r="D736" s="16">
        <v>324.64</v>
      </c>
      <c r="E736" s="20" t="s">
        <v>2199</v>
      </c>
      <c r="F736" s="20" t="s">
        <v>2200</v>
      </c>
      <c r="G736" s="12">
        <v>3</v>
      </c>
      <c r="H736" s="12">
        <v>24</v>
      </c>
      <c r="I736" s="16">
        <f>ROUND(G736,0)</f>
        <v>3</v>
      </c>
      <c r="J736" s="16">
        <f>ROUND(H736,0)</f>
        <v>24</v>
      </c>
      <c r="K736" s="18" t="str">
        <f>IF(I736=J736,"TAM",(CONCATENATE(G736,"/",H736)))</f>
        <v>3/24</v>
      </c>
      <c r="L736" s="29">
        <f>324.64*3/24</f>
        <v>40.58</v>
      </c>
      <c r="M736" s="30">
        <v>0</v>
      </c>
      <c r="N736" s="16" t="str">
        <f>IF(M736=0,"0",(O736*M736))</f>
        <v>0</v>
      </c>
      <c r="O736" s="16">
        <f>IF(W736=1,L736,((D736*G736/H736)-P736)/(1-V736)-S736-T736)</f>
        <v>40.58</v>
      </c>
      <c r="P736" s="16">
        <v>0</v>
      </c>
      <c r="Q736" s="16">
        <f>IF(U736=0,"0",O736*U736)</f>
        <v>13.5842536789738</v>
      </c>
      <c r="R736" s="17">
        <f>IF(U736=0,(((D736*G736/H736)-P736-S736-T736)/(1-V736)),(((D736*G736/H736)-P736-S736-T736)/(1-V736))-((D736*G736/H736)-P736-S736-T736)*U736/(1-V736))</f>
        <v>26.995746321026196</v>
      </c>
      <c r="S736" s="12">
        <v>0</v>
      </c>
      <c r="T736" s="12">
        <v>0</v>
      </c>
      <c r="U736" s="12">
        <v>0.334752431714485</v>
      </c>
      <c r="V736" s="12">
        <v>0</v>
      </c>
      <c r="W736" s="28">
        <f>IF(V736&gt;U736,1,V736)</f>
        <v>0</v>
      </c>
      <c r="X736" s="12">
        <v>1</v>
      </c>
      <c r="Y736" s="16">
        <v>0</v>
      </c>
      <c r="Z736" s="42" t="str">
        <f>IF(OR(W736=1,W736=0),"0",(Q736-N736))</f>
        <v>0</v>
      </c>
      <c r="AA736" s="53" t="s">
        <v>2201</v>
      </c>
      <c r="AB736" s="16" t="s">
        <v>2203</v>
      </c>
      <c r="AC736" s="16">
        <v>26.99</v>
      </c>
      <c r="AD736" s="16">
        <v>452.73</v>
      </c>
      <c r="AE736" s="16">
        <f>ROUND(AC736*100,0)</f>
        <v>2699</v>
      </c>
      <c r="AF736" s="16">
        <f>ROUND(AD736*100,0)</f>
        <v>45273</v>
      </c>
      <c r="AG736" s="19" t="str">
        <f>IF(AC736=AD736,"TAM",(CONCATENATE(AE736,"/",AF736)))</f>
        <v>2699/45273</v>
      </c>
      <c r="AH736" s="11" t="s">
        <v>50</v>
      </c>
      <c r="AI736" s="21" t="s">
        <v>50</v>
      </c>
      <c r="AJ736" s="21" t="s">
        <v>2202</v>
      </c>
      <c r="AK736" s="54" t="s">
        <v>50</v>
      </c>
      <c r="AL736" s="1" t="s">
        <v>50</v>
      </c>
    </row>
    <row r="737" spans="1:37" ht="12.75" customHeight="1">
      <c r="A737" s="43"/>
      <c r="B737" s="13"/>
      <c r="C737" s="13"/>
      <c r="D737" s="31"/>
      <c r="E737" s="14" t="s">
        <v>50</v>
      </c>
      <c r="F737" s="14"/>
      <c r="G737" s="14"/>
      <c r="H737" s="14"/>
      <c r="I737" s="31"/>
      <c r="J737" s="31"/>
      <c r="K737" s="15"/>
      <c r="L737" s="15"/>
      <c r="M737" s="15"/>
      <c r="N737" s="15"/>
      <c r="O737" s="15"/>
      <c r="P737" s="14"/>
      <c r="Q737" s="14"/>
      <c r="R737" s="14"/>
      <c r="S737" s="14"/>
      <c r="T737" s="14"/>
      <c r="U737" s="14"/>
      <c r="V737" s="14"/>
      <c r="W737" s="14"/>
      <c r="X737" s="14"/>
      <c r="Y737" s="13"/>
      <c r="Z737" s="44"/>
      <c r="AA737" s="43"/>
      <c r="AB737" s="13"/>
      <c r="AC737" s="13"/>
      <c r="AD737" s="13"/>
      <c r="AE737" s="13"/>
      <c r="AF737" s="13"/>
      <c r="AG737" s="13"/>
      <c r="AH737" s="13"/>
      <c r="AI737" s="13"/>
      <c r="AJ737" s="13"/>
      <c r="AK737" s="44"/>
    </row>
    <row r="738" spans="1:38" ht="12.75" customHeight="1">
      <c r="A738" s="41">
        <v>266</v>
      </c>
      <c r="B738" s="10">
        <v>1079</v>
      </c>
      <c r="C738" s="10" t="s">
        <v>2204</v>
      </c>
      <c r="D738" s="16">
        <v>324.64</v>
      </c>
      <c r="E738" s="20" t="s">
        <v>2205</v>
      </c>
      <c r="F738" s="20" t="s">
        <v>2206</v>
      </c>
      <c r="G738" s="12">
        <v>3</v>
      </c>
      <c r="H738" s="12">
        <v>24</v>
      </c>
      <c r="I738" s="16">
        <f>ROUND(G738,0)</f>
        <v>3</v>
      </c>
      <c r="J738" s="16">
        <f>ROUND(H738,0)</f>
        <v>24</v>
      </c>
      <c r="K738" s="18" t="str">
        <f>IF(I738=J738,"TAM",(CONCATENATE(G738,"/",H738)))</f>
        <v>3/24</v>
      </c>
      <c r="L738" s="29">
        <f>324.64*3/24</f>
        <v>40.58</v>
      </c>
      <c r="M738" s="30">
        <v>0</v>
      </c>
      <c r="N738" s="16" t="str">
        <f>IF(M738=0,"0",(O738*M738))</f>
        <v>0</v>
      </c>
      <c r="O738" s="16">
        <f>IF(W738=1,L738,((D738*G738/H738)-P738)/(1-V738)-S738-T738)</f>
        <v>40.58</v>
      </c>
      <c r="P738" s="16">
        <v>0</v>
      </c>
      <c r="Q738" s="16">
        <f>IF(U738=0,"0",O738*U738)</f>
        <v>13.5842536789738</v>
      </c>
      <c r="R738" s="17">
        <f>IF(U738=0,(((D738*G738/H738)-P738-S738-T738)/(1-V738)),(((D738*G738/H738)-P738-S738-T738)/(1-V738))-((D738*G738/H738)-P738-S738-T738)*U738/(1-V738))</f>
        <v>26.995746321026196</v>
      </c>
      <c r="S738" s="12">
        <v>0</v>
      </c>
      <c r="T738" s="12">
        <v>0</v>
      </c>
      <c r="U738" s="12">
        <v>0.334752431714485</v>
      </c>
      <c r="V738" s="12">
        <v>0</v>
      </c>
      <c r="W738" s="28">
        <f>IF(V738&gt;U738,1,V738)</f>
        <v>0</v>
      </c>
      <c r="X738" s="12">
        <v>1</v>
      </c>
      <c r="Y738" s="16">
        <v>0</v>
      </c>
      <c r="Z738" s="42" t="str">
        <f>IF(OR(W738=1,W738=0),"0",(Q738-N738))</f>
        <v>0</v>
      </c>
      <c r="AA738" s="53" t="s">
        <v>2207</v>
      </c>
      <c r="AB738" s="16" t="s">
        <v>2209</v>
      </c>
      <c r="AC738" s="16">
        <v>26.99</v>
      </c>
      <c r="AD738" s="16">
        <v>452.73</v>
      </c>
      <c r="AE738" s="16">
        <f>ROUND(AC738*100,0)</f>
        <v>2699</v>
      </c>
      <c r="AF738" s="16">
        <f>ROUND(AD738*100,0)</f>
        <v>45273</v>
      </c>
      <c r="AG738" s="19" t="str">
        <f>IF(AC738=AD738,"TAM",(CONCATENATE(AE738,"/",AF738)))</f>
        <v>2699/45273</v>
      </c>
      <c r="AH738" s="11" t="s">
        <v>50</v>
      </c>
      <c r="AI738" s="21" t="s">
        <v>50</v>
      </c>
      <c r="AJ738" s="21" t="s">
        <v>2208</v>
      </c>
      <c r="AK738" s="54" t="s">
        <v>50</v>
      </c>
      <c r="AL738" s="1" t="s">
        <v>50</v>
      </c>
    </row>
    <row r="739" spans="1:37" ht="12.75" customHeight="1">
      <c r="A739" s="43"/>
      <c r="B739" s="13"/>
      <c r="C739" s="13"/>
      <c r="D739" s="31"/>
      <c r="E739" s="14" t="s">
        <v>50</v>
      </c>
      <c r="F739" s="14"/>
      <c r="G739" s="14"/>
      <c r="H739" s="14"/>
      <c r="I739" s="31"/>
      <c r="J739" s="31"/>
      <c r="K739" s="15"/>
      <c r="L739" s="15"/>
      <c r="M739" s="15"/>
      <c r="N739" s="15"/>
      <c r="O739" s="15"/>
      <c r="P739" s="14"/>
      <c r="Q739" s="14"/>
      <c r="R739" s="14"/>
      <c r="S739" s="14"/>
      <c r="T739" s="14"/>
      <c r="U739" s="14"/>
      <c r="V739" s="14"/>
      <c r="W739" s="14"/>
      <c r="X739" s="14"/>
      <c r="Y739" s="13"/>
      <c r="Z739" s="44"/>
      <c r="AA739" s="43"/>
      <c r="AB739" s="13"/>
      <c r="AC739" s="13"/>
      <c r="AD739" s="13"/>
      <c r="AE739" s="13"/>
      <c r="AF739" s="13"/>
      <c r="AG739" s="13"/>
      <c r="AH739" s="13"/>
      <c r="AI739" s="13"/>
      <c r="AJ739" s="13"/>
      <c r="AK739" s="44"/>
    </row>
    <row r="740" spans="1:38" ht="12.75" customHeight="1">
      <c r="A740" s="41">
        <v>264</v>
      </c>
      <c r="B740" s="10">
        <v>1079</v>
      </c>
      <c r="C740" s="10" t="s">
        <v>2210</v>
      </c>
      <c r="D740" s="16">
        <v>324.64</v>
      </c>
      <c r="E740" s="20" t="s">
        <v>2211</v>
      </c>
      <c r="F740" s="20" t="s">
        <v>2212</v>
      </c>
      <c r="G740" s="12">
        <v>12</v>
      </c>
      <c r="H740" s="12">
        <v>24</v>
      </c>
      <c r="I740" s="16">
        <f>ROUND(G740,0)</f>
        <v>12</v>
      </c>
      <c r="J740" s="16">
        <f>ROUND(H740,0)</f>
        <v>24</v>
      </c>
      <c r="K740" s="18" t="str">
        <f>IF(I740=J740,"TAM",(CONCATENATE(G740,"/",H740)))</f>
        <v>12/24</v>
      </c>
      <c r="L740" s="29">
        <f>324.64*12/24</f>
        <v>162.32</v>
      </c>
      <c r="M740" s="30">
        <v>0</v>
      </c>
      <c r="N740" s="16" t="str">
        <f>IF(M740=0,"0",(O740*M740))</f>
        <v>0</v>
      </c>
      <c r="O740" s="16">
        <f>IF(W740=1,L740,((D740*G740/H740)-P740)/(1-V740)-S740-T740)</f>
        <v>162.32</v>
      </c>
      <c r="P740" s="16">
        <v>0</v>
      </c>
      <c r="Q740" s="16">
        <f>IF(U740=0,"0",O740*U740)</f>
        <v>54.3370147158952</v>
      </c>
      <c r="R740" s="17">
        <f>IF(U740=0,(((D740*G740/H740)-P740-S740-T740)/(1-V740)),(((D740*G740/H740)-P740-S740-T740)/(1-V740))-((D740*G740/H740)-P740-S740-T740)*U740/(1-V740))</f>
        <v>107.98298528410479</v>
      </c>
      <c r="S740" s="12">
        <v>0</v>
      </c>
      <c r="T740" s="12">
        <v>0</v>
      </c>
      <c r="U740" s="12">
        <v>0.334752431714485</v>
      </c>
      <c r="V740" s="12">
        <v>0</v>
      </c>
      <c r="W740" s="28">
        <f>IF(V740&gt;U740,1,V740)</f>
        <v>0</v>
      </c>
      <c r="X740" s="12">
        <v>1</v>
      </c>
      <c r="Y740" s="16">
        <v>0</v>
      </c>
      <c r="Z740" s="42" t="str">
        <f>IF(OR(W740=1,W740=0),"0",(Q740-N740))</f>
        <v>0</v>
      </c>
      <c r="AA740" s="53" t="s">
        <v>2213</v>
      </c>
      <c r="AB740" s="16" t="s">
        <v>2215</v>
      </c>
      <c r="AC740" s="16">
        <v>107.99</v>
      </c>
      <c r="AD740" s="16">
        <v>452.73</v>
      </c>
      <c r="AE740" s="16">
        <f>ROUND(AC740*100,0)</f>
        <v>10799</v>
      </c>
      <c r="AF740" s="16">
        <f>ROUND(AD740*100,0)</f>
        <v>45273</v>
      </c>
      <c r="AG740" s="19" t="str">
        <f>IF(AC740=AD740,"TAM",(CONCATENATE(AE740,"/",AF740)))</f>
        <v>10799/45273</v>
      </c>
      <c r="AH740" s="11" t="s">
        <v>50</v>
      </c>
      <c r="AI740" s="21" t="s">
        <v>50</v>
      </c>
      <c r="AJ740" s="21" t="s">
        <v>2214</v>
      </c>
      <c r="AK740" s="54" t="s">
        <v>50</v>
      </c>
      <c r="AL740" s="1" t="s">
        <v>50</v>
      </c>
    </row>
    <row r="741" spans="1:37" ht="12.75" customHeight="1">
      <c r="A741" s="43"/>
      <c r="B741" s="13"/>
      <c r="C741" s="13"/>
      <c r="D741" s="31"/>
      <c r="E741" s="14" t="s">
        <v>50</v>
      </c>
      <c r="F741" s="14"/>
      <c r="G741" s="14"/>
      <c r="H741" s="14"/>
      <c r="I741" s="31"/>
      <c r="J741" s="31"/>
      <c r="K741" s="15"/>
      <c r="L741" s="15"/>
      <c r="M741" s="15"/>
      <c r="N741" s="15"/>
      <c r="O741" s="15"/>
      <c r="P741" s="14"/>
      <c r="Q741" s="14"/>
      <c r="R741" s="14"/>
      <c r="S741" s="14"/>
      <c r="T741" s="14"/>
      <c r="U741" s="14"/>
      <c r="V741" s="14"/>
      <c r="W741" s="14"/>
      <c r="X741" s="14"/>
      <c r="Y741" s="13"/>
      <c r="Z741" s="44"/>
      <c r="AA741" s="43"/>
      <c r="AB741" s="13"/>
      <c r="AC741" s="13"/>
      <c r="AD741" s="13"/>
      <c r="AE741" s="13"/>
      <c r="AF741" s="13"/>
      <c r="AG741" s="13"/>
      <c r="AH741" s="13"/>
      <c r="AI741" s="13"/>
      <c r="AJ741" s="13"/>
      <c r="AK741" s="44"/>
    </row>
    <row r="742" spans="1:38" ht="12.75" customHeight="1">
      <c r="A742" s="41">
        <v>267</v>
      </c>
      <c r="B742" s="10">
        <v>1080</v>
      </c>
      <c r="C742" s="10" t="s">
        <v>2216</v>
      </c>
      <c r="D742" s="16">
        <v>355.9</v>
      </c>
      <c r="E742" s="20" t="s">
        <v>2217</v>
      </c>
      <c r="F742" s="20" t="s">
        <v>2218</v>
      </c>
      <c r="G742" s="12">
        <v>6</v>
      </c>
      <c r="H742" s="12">
        <v>24</v>
      </c>
      <c r="I742" s="16">
        <f>ROUND(G742,0)</f>
        <v>6</v>
      </c>
      <c r="J742" s="16">
        <f>ROUND(H742,0)</f>
        <v>24</v>
      </c>
      <c r="K742" s="18" t="str">
        <f>IF(I742=J742,"TAM",(CONCATENATE(G742,"/",H742)))</f>
        <v>6/24</v>
      </c>
      <c r="L742" s="29">
        <f>355.9*6/24</f>
        <v>88.975</v>
      </c>
      <c r="M742" s="30">
        <v>0</v>
      </c>
      <c r="N742" s="16" t="str">
        <f>IF(M742=0,"0",(O742*M742))</f>
        <v>0</v>
      </c>
      <c r="O742" s="16">
        <f>IF(W742=1,L742,((D742*G742/H742)-P742)/(1-V742)-S742-T742)</f>
        <v>88.97499999999998</v>
      </c>
      <c r="P742" s="16">
        <v>0</v>
      </c>
      <c r="Q742" s="16">
        <f>IF(U742=0,"0",O742*U742)</f>
        <v>29.784597611796293</v>
      </c>
      <c r="R742" s="17">
        <f>IF(U742=0,(((D742*G742/H742)-P742-S742-T742)/(1-V742)),(((D742*G742/H742)-P742-S742-T742)/(1-V742))-((D742*G742/H742)-P742-S742-T742)*U742/(1-V742))</f>
        <v>59.19040238820369</v>
      </c>
      <c r="S742" s="12">
        <v>0</v>
      </c>
      <c r="T742" s="12">
        <v>0</v>
      </c>
      <c r="U742" s="12">
        <v>0.334752431714485</v>
      </c>
      <c r="V742" s="12">
        <v>0</v>
      </c>
      <c r="W742" s="28">
        <f>IF(V742&gt;U742,1,V742)</f>
        <v>0</v>
      </c>
      <c r="X742" s="12">
        <v>1</v>
      </c>
      <c r="Y742" s="16">
        <v>0</v>
      </c>
      <c r="Z742" s="42" t="str">
        <f>IF(OR(W742=1,W742=0),"0",(Q742-N742))</f>
        <v>0</v>
      </c>
      <c r="AA742" s="53" t="s">
        <v>2219</v>
      </c>
      <c r="AB742" s="16" t="s">
        <v>2221</v>
      </c>
      <c r="AC742" s="16">
        <v>59.19</v>
      </c>
      <c r="AD742" s="16">
        <v>452.73</v>
      </c>
      <c r="AE742" s="16">
        <f>ROUND(AC742*100,0)</f>
        <v>5919</v>
      </c>
      <c r="AF742" s="16">
        <f>ROUND(AD742*100,0)</f>
        <v>45273</v>
      </c>
      <c r="AG742" s="19" t="str">
        <f>IF(AC742=AD742,"TAM",(CONCATENATE(AE742,"/",AF742)))</f>
        <v>5919/45273</v>
      </c>
      <c r="AH742" s="11" t="s">
        <v>50</v>
      </c>
      <c r="AI742" s="21" t="s">
        <v>50</v>
      </c>
      <c r="AJ742" s="21" t="s">
        <v>2220</v>
      </c>
      <c r="AK742" s="54" t="s">
        <v>50</v>
      </c>
      <c r="AL742" s="1" t="s">
        <v>50</v>
      </c>
    </row>
    <row r="743" spans="1:37" ht="12.75" customHeight="1">
      <c r="A743" s="43"/>
      <c r="B743" s="13"/>
      <c r="C743" s="13"/>
      <c r="D743" s="31"/>
      <c r="E743" s="14" t="s">
        <v>50</v>
      </c>
      <c r="F743" s="14"/>
      <c r="G743" s="14"/>
      <c r="H743" s="14"/>
      <c r="I743" s="31"/>
      <c r="J743" s="31"/>
      <c r="K743" s="15"/>
      <c r="L743" s="15"/>
      <c r="M743" s="15"/>
      <c r="N743" s="15"/>
      <c r="O743" s="15"/>
      <c r="P743" s="14"/>
      <c r="Q743" s="14"/>
      <c r="R743" s="14"/>
      <c r="S743" s="14"/>
      <c r="T743" s="14"/>
      <c r="U743" s="14"/>
      <c r="V743" s="14"/>
      <c r="W743" s="14"/>
      <c r="X743" s="14"/>
      <c r="Y743" s="13"/>
      <c r="Z743" s="44"/>
      <c r="AA743" s="43"/>
      <c r="AB743" s="13"/>
      <c r="AC743" s="13"/>
      <c r="AD743" s="13"/>
      <c r="AE743" s="13"/>
      <c r="AF743" s="13"/>
      <c r="AG743" s="13"/>
      <c r="AH743" s="13"/>
      <c r="AI743" s="13"/>
      <c r="AJ743" s="13"/>
      <c r="AK743" s="44"/>
    </row>
    <row r="744" spans="1:38" ht="12.75" customHeight="1">
      <c r="A744" s="41">
        <v>269</v>
      </c>
      <c r="B744" s="10">
        <v>1080</v>
      </c>
      <c r="C744" s="10" t="s">
        <v>2222</v>
      </c>
      <c r="D744" s="16">
        <v>355.9</v>
      </c>
      <c r="E744" s="20" t="s">
        <v>2223</v>
      </c>
      <c r="F744" s="20" t="s">
        <v>2224</v>
      </c>
      <c r="G744" s="12">
        <v>3</v>
      </c>
      <c r="H744" s="12">
        <v>24</v>
      </c>
      <c r="I744" s="16">
        <f>ROUND(G744,0)</f>
        <v>3</v>
      </c>
      <c r="J744" s="16">
        <f>ROUND(H744,0)</f>
        <v>24</v>
      </c>
      <c r="K744" s="18" t="str">
        <f>IF(I744=J744,"TAM",(CONCATENATE(G744,"/",H744)))</f>
        <v>3/24</v>
      </c>
      <c r="L744" s="29">
        <f>355.9*3/24</f>
        <v>44.4875</v>
      </c>
      <c r="M744" s="30">
        <v>0</v>
      </c>
      <c r="N744" s="16" t="str">
        <f>IF(M744=0,"0",(O744*M744))</f>
        <v>0</v>
      </c>
      <c r="O744" s="16">
        <f>IF(W744=1,L744,((D744*G744/H744)-P744)/(1-V744)-S744-T744)</f>
        <v>44.48749999999999</v>
      </c>
      <c r="P744" s="16">
        <v>0</v>
      </c>
      <c r="Q744" s="16">
        <f>IF(U744=0,"0",O744*U744)</f>
        <v>14.892298805898147</v>
      </c>
      <c r="R744" s="17">
        <f>IF(U744=0,(((D744*G744/H744)-P744-S744-T744)/(1-V744)),(((D744*G744/H744)-P744-S744-T744)/(1-V744))-((D744*G744/H744)-P744-S744-T744)*U744/(1-V744))</f>
        <v>29.595201194101843</v>
      </c>
      <c r="S744" s="12">
        <v>0</v>
      </c>
      <c r="T744" s="12">
        <v>0</v>
      </c>
      <c r="U744" s="12">
        <v>0.334752431714485</v>
      </c>
      <c r="V744" s="12">
        <v>0</v>
      </c>
      <c r="W744" s="28">
        <f>IF(V744&gt;U744,1,V744)</f>
        <v>0</v>
      </c>
      <c r="X744" s="12">
        <v>1</v>
      </c>
      <c r="Y744" s="16">
        <v>0</v>
      </c>
      <c r="Z744" s="42" t="str">
        <f>IF(OR(W744=1,W744=0),"0",(Q744-N744))</f>
        <v>0</v>
      </c>
      <c r="AA744" s="53" t="s">
        <v>2225</v>
      </c>
      <c r="AB744" s="16" t="s">
        <v>2227</v>
      </c>
      <c r="AC744" s="16">
        <v>29.59</v>
      </c>
      <c r="AD744" s="16">
        <v>452.73</v>
      </c>
      <c r="AE744" s="16">
        <f>ROUND(AC744*100,0)</f>
        <v>2959</v>
      </c>
      <c r="AF744" s="16">
        <f>ROUND(AD744*100,0)</f>
        <v>45273</v>
      </c>
      <c r="AG744" s="19" t="str">
        <f>IF(AC744=AD744,"TAM",(CONCATENATE(AE744,"/",AF744)))</f>
        <v>2959/45273</v>
      </c>
      <c r="AH744" s="11" t="s">
        <v>50</v>
      </c>
      <c r="AI744" s="21" t="s">
        <v>50</v>
      </c>
      <c r="AJ744" s="21" t="s">
        <v>2226</v>
      </c>
      <c r="AK744" s="54" t="s">
        <v>50</v>
      </c>
      <c r="AL744" s="1" t="s">
        <v>50</v>
      </c>
    </row>
    <row r="745" spans="1:37" ht="12.75" customHeight="1">
      <c r="A745" s="43"/>
      <c r="B745" s="13"/>
      <c r="C745" s="13"/>
      <c r="D745" s="31"/>
      <c r="E745" s="14" t="s">
        <v>50</v>
      </c>
      <c r="F745" s="14"/>
      <c r="G745" s="14"/>
      <c r="H745" s="14"/>
      <c r="I745" s="31"/>
      <c r="J745" s="31"/>
      <c r="K745" s="15"/>
      <c r="L745" s="15"/>
      <c r="M745" s="15"/>
      <c r="N745" s="15"/>
      <c r="O745" s="15"/>
      <c r="P745" s="14"/>
      <c r="Q745" s="14"/>
      <c r="R745" s="14"/>
      <c r="S745" s="14"/>
      <c r="T745" s="14"/>
      <c r="U745" s="14"/>
      <c r="V745" s="14"/>
      <c r="W745" s="14"/>
      <c r="X745" s="14"/>
      <c r="Y745" s="13"/>
      <c r="Z745" s="44"/>
      <c r="AA745" s="43"/>
      <c r="AB745" s="13"/>
      <c r="AC745" s="13"/>
      <c r="AD745" s="13"/>
      <c r="AE745" s="13"/>
      <c r="AF745" s="13"/>
      <c r="AG745" s="13"/>
      <c r="AH745" s="13"/>
      <c r="AI745" s="13"/>
      <c r="AJ745" s="13"/>
      <c r="AK745" s="44"/>
    </row>
    <row r="746" spans="1:38" ht="12.75" customHeight="1">
      <c r="A746" s="41">
        <v>270</v>
      </c>
      <c r="B746" s="10">
        <v>1080</v>
      </c>
      <c r="C746" s="10" t="s">
        <v>2228</v>
      </c>
      <c r="D746" s="16">
        <v>355.9</v>
      </c>
      <c r="E746" s="20" t="s">
        <v>2229</v>
      </c>
      <c r="F746" s="20" t="s">
        <v>2230</v>
      </c>
      <c r="G746" s="12">
        <v>3</v>
      </c>
      <c r="H746" s="12">
        <v>24</v>
      </c>
      <c r="I746" s="16">
        <f>ROUND(G746,0)</f>
        <v>3</v>
      </c>
      <c r="J746" s="16">
        <f>ROUND(H746,0)</f>
        <v>24</v>
      </c>
      <c r="K746" s="18" t="str">
        <f>IF(I746=J746,"TAM",(CONCATENATE(G746,"/",H746)))</f>
        <v>3/24</v>
      </c>
      <c r="L746" s="29">
        <f>355.9*3/24</f>
        <v>44.4875</v>
      </c>
      <c r="M746" s="30">
        <v>0</v>
      </c>
      <c r="N746" s="16" t="str">
        <f>IF(M746=0,"0",(O746*M746))</f>
        <v>0</v>
      </c>
      <c r="O746" s="16">
        <f>IF(W746=1,L746,((D746*G746/H746)-P746)/(1-V746)-S746-T746)</f>
        <v>44.48749999999999</v>
      </c>
      <c r="P746" s="16">
        <v>0</v>
      </c>
      <c r="Q746" s="16">
        <f>IF(U746=0,"0",O746*U746)</f>
        <v>14.892298805898147</v>
      </c>
      <c r="R746" s="17">
        <f>IF(U746=0,(((D746*G746/H746)-P746-S746-T746)/(1-V746)),(((D746*G746/H746)-P746-S746-T746)/(1-V746))-((D746*G746/H746)-P746-S746-T746)*U746/(1-V746))</f>
        <v>29.595201194101843</v>
      </c>
      <c r="S746" s="12">
        <v>0</v>
      </c>
      <c r="T746" s="12">
        <v>0</v>
      </c>
      <c r="U746" s="12">
        <v>0.334752431714485</v>
      </c>
      <c r="V746" s="12">
        <v>0</v>
      </c>
      <c r="W746" s="28">
        <f>IF(V746&gt;U746,1,V746)</f>
        <v>0</v>
      </c>
      <c r="X746" s="12">
        <v>1</v>
      </c>
      <c r="Y746" s="16">
        <v>0</v>
      </c>
      <c r="Z746" s="42" t="str">
        <f>IF(OR(W746=1,W746=0),"0",(Q746-N746))</f>
        <v>0</v>
      </c>
      <c r="AA746" s="53" t="s">
        <v>2231</v>
      </c>
      <c r="AB746" s="16" t="s">
        <v>2233</v>
      </c>
      <c r="AC746" s="16">
        <v>29.59</v>
      </c>
      <c r="AD746" s="16">
        <v>452.73</v>
      </c>
      <c r="AE746" s="16">
        <f>ROUND(AC746*100,0)</f>
        <v>2959</v>
      </c>
      <c r="AF746" s="16">
        <f>ROUND(AD746*100,0)</f>
        <v>45273</v>
      </c>
      <c r="AG746" s="19" t="str">
        <f>IF(AC746=AD746,"TAM",(CONCATENATE(AE746,"/",AF746)))</f>
        <v>2959/45273</v>
      </c>
      <c r="AH746" s="11" t="s">
        <v>50</v>
      </c>
      <c r="AI746" s="21" t="s">
        <v>50</v>
      </c>
      <c r="AJ746" s="21" t="s">
        <v>2232</v>
      </c>
      <c r="AK746" s="54" t="s">
        <v>50</v>
      </c>
      <c r="AL746" s="1" t="s">
        <v>50</v>
      </c>
    </row>
    <row r="747" spans="1:37" ht="12.75" customHeight="1">
      <c r="A747" s="43"/>
      <c r="B747" s="13"/>
      <c r="C747" s="13"/>
      <c r="D747" s="31"/>
      <c r="E747" s="14" t="s">
        <v>50</v>
      </c>
      <c r="F747" s="14"/>
      <c r="G747" s="14"/>
      <c r="H747" s="14"/>
      <c r="I747" s="31"/>
      <c r="J747" s="31"/>
      <c r="K747" s="15"/>
      <c r="L747" s="15"/>
      <c r="M747" s="15"/>
      <c r="N747" s="15"/>
      <c r="O747" s="15"/>
      <c r="P747" s="14"/>
      <c r="Q747" s="14"/>
      <c r="R747" s="14"/>
      <c r="S747" s="14"/>
      <c r="T747" s="14"/>
      <c r="U747" s="14"/>
      <c r="V747" s="14"/>
      <c r="W747" s="14"/>
      <c r="X747" s="14"/>
      <c r="Y747" s="13"/>
      <c r="Z747" s="44"/>
      <c r="AA747" s="43"/>
      <c r="AB747" s="13"/>
      <c r="AC747" s="13"/>
      <c r="AD747" s="13"/>
      <c r="AE747" s="13"/>
      <c r="AF747" s="13"/>
      <c r="AG747" s="13"/>
      <c r="AH747" s="13"/>
      <c r="AI747" s="13"/>
      <c r="AJ747" s="13"/>
      <c r="AK747" s="44"/>
    </row>
    <row r="748" spans="1:38" ht="12.75" customHeight="1">
      <c r="A748" s="41">
        <v>268</v>
      </c>
      <c r="B748" s="10">
        <v>1080</v>
      </c>
      <c r="C748" s="10" t="s">
        <v>2234</v>
      </c>
      <c r="D748" s="16">
        <v>355.9</v>
      </c>
      <c r="E748" s="20" t="s">
        <v>2235</v>
      </c>
      <c r="F748" s="20" t="s">
        <v>2236</v>
      </c>
      <c r="G748" s="12">
        <v>12</v>
      </c>
      <c r="H748" s="12">
        <v>24</v>
      </c>
      <c r="I748" s="16">
        <f>ROUND(G748,0)</f>
        <v>12</v>
      </c>
      <c r="J748" s="16">
        <f>ROUND(H748,0)</f>
        <v>24</v>
      </c>
      <c r="K748" s="18" t="str">
        <f>IF(I748=J748,"TAM",(CONCATENATE(G748,"/",H748)))</f>
        <v>12/24</v>
      </c>
      <c r="L748" s="29">
        <f>355.9*12/24</f>
        <v>177.95</v>
      </c>
      <c r="M748" s="30">
        <v>0</v>
      </c>
      <c r="N748" s="16" t="str">
        <f>IF(M748=0,"0",(O748*M748))</f>
        <v>0</v>
      </c>
      <c r="O748" s="16">
        <f>IF(W748=1,L748,((D748*G748/H748)-P748)/(1-V748)-S748-T748)</f>
        <v>177.94999999999996</v>
      </c>
      <c r="P748" s="16">
        <v>0</v>
      </c>
      <c r="Q748" s="16">
        <f>IF(U748=0,"0",O748*U748)</f>
        <v>59.56919522359259</v>
      </c>
      <c r="R748" s="17">
        <f>IF(U748=0,(((D748*G748/H748)-P748-S748-T748)/(1-V748)),(((D748*G748/H748)-P748-S748-T748)/(1-V748))-((D748*G748/H748)-P748-S748-T748)*U748/(1-V748))</f>
        <v>118.38080477640737</v>
      </c>
      <c r="S748" s="12">
        <v>0</v>
      </c>
      <c r="T748" s="12">
        <v>0</v>
      </c>
      <c r="U748" s="12">
        <v>0.334752431714485</v>
      </c>
      <c r="V748" s="12">
        <v>0</v>
      </c>
      <c r="W748" s="28">
        <f>IF(V748&gt;U748,1,V748)</f>
        <v>0</v>
      </c>
      <c r="X748" s="12">
        <v>1</v>
      </c>
      <c r="Y748" s="16">
        <v>0</v>
      </c>
      <c r="Z748" s="42" t="str">
        <f>IF(OR(W748=1,W748=0),"0",(Q748-N748))</f>
        <v>0</v>
      </c>
      <c r="AA748" s="53" t="s">
        <v>2237</v>
      </c>
      <c r="AB748" s="16" t="s">
        <v>2239</v>
      </c>
      <c r="AC748" s="16">
        <v>118.39</v>
      </c>
      <c r="AD748" s="16">
        <v>452.73</v>
      </c>
      <c r="AE748" s="16">
        <f>ROUND(AC748*100,0)</f>
        <v>11839</v>
      </c>
      <c r="AF748" s="16">
        <f>ROUND(AD748*100,0)</f>
        <v>45273</v>
      </c>
      <c r="AG748" s="19" t="str">
        <f>IF(AC748=AD748,"TAM",(CONCATENATE(AE748,"/",AF748)))</f>
        <v>11839/45273</v>
      </c>
      <c r="AH748" s="11" t="s">
        <v>50</v>
      </c>
      <c r="AI748" s="21" t="s">
        <v>50</v>
      </c>
      <c r="AJ748" s="21" t="s">
        <v>2238</v>
      </c>
      <c r="AK748" s="54" t="s">
        <v>50</v>
      </c>
      <c r="AL748" s="1" t="s">
        <v>50</v>
      </c>
    </row>
    <row r="749" spans="1:37" ht="12.75" customHeight="1">
      <c r="A749" s="43"/>
      <c r="B749" s="13"/>
      <c r="C749" s="13"/>
      <c r="D749" s="31"/>
      <c r="E749" s="14" t="s">
        <v>50</v>
      </c>
      <c r="F749" s="14"/>
      <c r="G749" s="14"/>
      <c r="H749" s="14"/>
      <c r="I749" s="31"/>
      <c r="J749" s="31"/>
      <c r="K749" s="15"/>
      <c r="L749" s="15"/>
      <c r="M749" s="15"/>
      <c r="N749" s="15"/>
      <c r="O749" s="15"/>
      <c r="P749" s="14"/>
      <c r="Q749" s="14"/>
      <c r="R749" s="14"/>
      <c r="S749" s="14"/>
      <c r="T749" s="14"/>
      <c r="U749" s="14"/>
      <c r="V749" s="14"/>
      <c r="W749" s="14"/>
      <c r="X749" s="14"/>
      <c r="Y749" s="13"/>
      <c r="Z749" s="44"/>
      <c r="AA749" s="43"/>
      <c r="AB749" s="13"/>
      <c r="AC749" s="13"/>
      <c r="AD749" s="13"/>
      <c r="AE749" s="13"/>
      <c r="AF749" s="13"/>
      <c r="AG749" s="13"/>
      <c r="AH749" s="13"/>
      <c r="AI749" s="13"/>
      <c r="AJ749" s="13"/>
      <c r="AK749" s="44"/>
    </row>
    <row r="750" spans="1:38" ht="12.75" customHeight="1">
      <c r="A750" s="41">
        <v>451</v>
      </c>
      <c r="B750" s="10">
        <v>1136</v>
      </c>
      <c r="C750" s="10" t="s">
        <v>2240</v>
      </c>
      <c r="D750" s="16">
        <v>1361.86</v>
      </c>
      <c r="E750" s="20" t="s">
        <v>2241</v>
      </c>
      <c r="F750" s="20" t="s">
        <v>2242</v>
      </c>
      <c r="G750" s="12">
        <v>1</v>
      </c>
      <c r="H750" s="12">
        <v>2</v>
      </c>
      <c r="I750" s="16">
        <f>ROUND(G750,0)</f>
        <v>1</v>
      </c>
      <c r="J750" s="16">
        <f>ROUND(H750,0)</f>
        <v>2</v>
      </c>
      <c r="K750" s="18" t="str">
        <f>IF(I750=J750,"TAM",(CONCATENATE(G750,"/",H750)))</f>
        <v>1/2</v>
      </c>
      <c r="L750" s="29">
        <f>1361.86*1/2</f>
        <v>680.93</v>
      </c>
      <c r="M750" s="30">
        <v>0</v>
      </c>
      <c r="N750" s="16" t="str">
        <f>IF(M750=0,"0",(O750*M750))</f>
        <v>0</v>
      </c>
      <c r="O750" s="16">
        <f>IF(W750=1,L750,((D750*G750/H750)-P750)/(1-V750)-S750-T750)</f>
        <v>680.93</v>
      </c>
      <c r="P750" s="16">
        <v>0</v>
      </c>
      <c r="Q750" s="16">
        <f>IF(U750=0,"0",O750*U750)</f>
        <v>227.94297332734425</v>
      </c>
      <c r="R750" s="17">
        <f>IF(U750=0,(((D750*G750/H750)-P750-S750-T750)/(1-V750)),(((D750*G750/H750)-P750-S750-T750)/(1-V750))-((D750*G750/H750)-P750-S750-T750)*U750/(1-V750))</f>
        <v>452.9870266726557</v>
      </c>
      <c r="S750" s="12">
        <v>0</v>
      </c>
      <c r="T750" s="12">
        <v>0</v>
      </c>
      <c r="U750" s="12">
        <v>0.334752431714485</v>
      </c>
      <c r="V750" s="12">
        <v>0</v>
      </c>
      <c r="W750" s="28">
        <f>IF(V750&gt;U750,1,V750)</f>
        <v>0</v>
      </c>
      <c r="X750" s="12">
        <v>1</v>
      </c>
      <c r="Y750" s="16">
        <v>0</v>
      </c>
      <c r="Z750" s="42" t="str">
        <f>IF(OR(W750=1,W750=0),"0",(Q750-N750))</f>
        <v>0</v>
      </c>
      <c r="AA750" s="53" t="s">
        <v>2243</v>
      </c>
      <c r="AB750" s="16" t="s">
        <v>2245</v>
      </c>
      <c r="AC750" s="16">
        <v>115.12</v>
      </c>
      <c r="AD750" s="16">
        <v>522.42</v>
      </c>
      <c r="AE750" s="16">
        <f>ROUND(AC750*100,0)</f>
        <v>11512</v>
      </c>
      <c r="AF750" s="16">
        <f>ROUND(AD750*100,0)</f>
        <v>52242</v>
      </c>
      <c r="AG750" s="19" t="str">
        <f>IF(AC750=AD750,"TAM",(CONCATENATE(AE750,"/",AF750)))</f>
        <v>11512/52242</v>
      </c>
      <c r="AH750" s="11" t="s">
        <v>50</v>
      </c>
      <c r="AI750" s="21" t="s">
        <v>50</v>
      </c>
      <c r="AJ750" s="21" t="s">
        <v>2244</v>
      </c>
      <c r="AK750" s="54" t="s">
        <v>50</v>
      </c>
      <c r="AL750" s="1" t="s">
        <v>50</v>
      </c>
    </row>
    <row r="751" spans="1:37" ht="12.75" customHeight="1">
      <c r="A751" s="43"/>
      <c r="B751" s="13"/>
      <c r="C751" s="13"/>
      <c r="D751" s="31"/>
      <c r="E751" s="14" t="s">
        <v>50</v>
      </c>
      <c r="F751" s="14"/>
      <c r="G751" s="14"/>
      <c r="H751" s="14"/>
      <c r="I751" s="31"/>
      <c r="J751" s="31"/>
      <c r="K751" s="15"/>
      <c r="L751" s="15"/>
      <c r="M751" s="15"/>
      <c r="N751" s="15"/>
      <c r="O751" s="15"/>
      <c r="P751" s="14"/>
      <c r="Q751" s="14"/>
      <c r="R751" s="14"/>
      <c r="S751" s="14"/>
      <c r="T751" s="14"/>
      <c r="U751" s="14"/>
      <c r="V751" s="14"/>
      <c r="W751" s="14"/>
      <c r="X751" s="14"/>
      <c r="Y751" s="13"/>
      <c r="Z751" s="44"/>
      <c r="AA751" s="43"/>
      <c r="AB751" s="13"/>
      <c r="AC751" s="13"/>
      <c r="AD751" s="13"/>
      <c r="AE751" s="13"/>
      <c r="AF751" s="13"/>
      <c r="AG751" s="13"/>
      <c r="AH751" s="13"/>
      <c r="AI751" s="13"/>
      <c r="AJ751" s="13"/>
      <c r="AK751" s="44"/>
    </row>
    <row r="752" spans="1:38" ht="12.75" customHeight="1">
      <c r="A752" s="41">
        <v>450</v>
      </c>
      <c r="B752" s="10">
        <v>1136</v>
      </c>
      <c r="C752" s="10" t="s">
        <v>2246</v>
      </c>
      <c r="D752" s="16">
        <v>1361.86</v>
      </c>
      <c r="E752" s="20" t="s">
        <v>2247</v>
      </c>
      <c r="F752" s="20" t="s">
        <v>2248</v>
      </c>
      <c r="G752" s="12">
        <v>1</v>
      </c>
      <c r="H752" s="12">
        <v>2</v>
      </c>
      <c r="I752" s="16">
        <f>ROUND(G752,0)</f>
        <v>1</v>
      </c>
      <c r="J752" s="16">
        <f>ROUND(H752,0)</f>
        <v>2</v>
      </c>
      <c r="K752" s="18" t="str">
        <f>IF(I752=J752,"TAM",(CONCATENATE(G752,"/",H752)))</f>
        <v>1/2</v>
      </c>
      <c r="L752" s="29">
        <f>1361.86*1/2</f>
        <v>680.93</v>
      </c>
      <c r="M752" s="30">
        <v>0</v>
      </c>
      <c r="N752" s="16" t="str">
        <f>IF(M752=0,"0",(O752*M752))</f>
        <v>0</v>
      </c>
      <c r="O752" s="16">
        <f>IF(W752=1,L752,((D752*G752/H752)-P752)/(1-V752)-S752-T752)</f>
        <v>680.93</v>
      </c>
      <c r="P752" s="16">
        <v>0</v>
      </c>
      <c r="Q752" s="16">
        <f>IF(U752=0,"0",O752*U752)</f>
        <v>227.94297332734425</v>
      </c>
      <c r="R752" s="17">
        <f>IF(U752=0,(((D752*G752/H752)-P752-S752-T752)/(1-V752)),(((D752*G752/H752)-P752-S752-T752)/(1-V752))-((D752*G752/H752)-P752-S752-T752)*U752/(1-V752))</f>
        <v>452.9870266726557</v>
      </c>
      <c r="S752" s="12">
        <v>0</v>
      </c>
      <c r="T752" s="12">
        <v>0</v>
      </c>
      <c r="U752" s="12">
        <v>0.334752431714485</v>
      </c>
      <c r="V752" s="12">
        <v>0</v>
      </c>
      <c r="W752" s="28">
        <f>IF(V752&gt;U752,1,V752)</f>
        <v>0</v>
      </c>
      <c r="X752" s="12">
        <v>1</v>
      </c>
      <c r="Y752" s="16">
        <v>0</v>
      </c>
      <c r="Z752" s="42" t="str">
        <f>IF(OR(W752=1,W752=0),"0",(Q752-N752))</f>
        <v>0</v>
      </c>
      <c r="AA752" s="53" t="s">
        <v>2249</v>
      </c>
      <c r="AB752" s="16" t="s">
        <v>2251</v>
      </c>
      <c r="AC752" s="16">
        <v>115.12</v>
      </c>
      <c r="AD752" s="16">
        <v>522.42</v>
      </c>
      <c r="AE752" s="16">
        <f>ROUND(AC752*100,0)</f>
        <v>11512</v>
      </c>
      <c r="AF752" s="16">
        <f>ROUND(AD752*100,0)</f>
        <v>52242</v>
      </c>
      <c r="AG752" s="19" t="str">
        <f>IF(AC752=AD752,"TAM",(CONCATENATE(AE752,"/",AF752)))</f>
        <v>11512/52242</v>
      </c>
      <c r="AH752" s="11" t="s">
        <v>50</v>
      </c>
      <c r="AI752" s="21" t="s">
        <v>50</v>
      </c>
      <c r="AJ752" s="21" t="s">
        <v>2250</v>
      </c>
      <c r="AK752" s="54" t="s">
        <v>50</v>
      </c>
      <c r="AL752" s="1" t="s">
        <v>50</v>
      </c>
    </row>
    <row r="753" spans="1:37" ht="12.75" customHeight="1">
      <c r="A753" s="43"/>
      <c r="B753" s="13"/>
      <c r="C753" s="13"/>
      <c r="D753" s="31"/>
      <c r="E753" s="14" t="s">
        <v>50</v>
      </c>
      <c r="F753" s="14"/>
      <c r="G753" s="14"/>
      <c r="H753" s="14"/>
      <c r="I753" s="31"/>
      <c r="J753" s="31"/>
      <c r="K753" s="15"/>
      <c r="L753" s="15"/>
      <c r="M753" s="15"/>
      <c r="N753" s="15"/>
      <c r="O753" s="15"/>
      <c r="P753" s="14"/>
      <c r="Q753" s="14"/>
      <c r="R753" s="14"/>
      <c r="S753" s="14"/>
      <c r="T753" s="14"/>
      <c r="U753" s="14"/>
      <c r="V753" s="14"/>
      <c r="W753" s="14"/>
      <c r="X753" s="14"/>
      <c r="Y753" s="13"/>
      <c r="Z753" s="44"/>
      <c r="AA753" s="43"/>
      <c r="AB753" s="13"/>
      <c r="AC753" s="13"/>
      <c r="AD753" s="13"/>
      <c r="AE753" s="13"/>
      <c r="AF753" s="13"/>
      <c r="AG753" s="13"/>
      <c r="AH753" s="13"/>
      <c r="AI753" s="13"/>
      <c r="AJ753" s="13"/>
      <c r="AK753" s="44"/>
    </row>
    <row r="754" spans="1:38" ht="12.75" customHeight="1">
      <c r="A754" s="41">
        <v>463</v>
      </c>
      <c r="B754" s="10">
        <v>1149</v>
      </c>
      <c r="C754" s="10" t="s">
        <v>2252</v>
      </c>
      <c r="D754" s="16">
        <v>491.69</v>
      </c>
      <c r="E754" s="20" t="s">
        <v>2253</v>
      </c>
      <c r="F754" s="20" t="s">
        <v>2254</v>
      </c>
      <c r="G754" s="12">
        <v>1</v>
      </c>
      <c r="H754" s="12">
        <v>2</v>
      </c>
      <c r="I754" s="16">
        <f>ROUND(G754,0)</f>
        <v>1</v>
      </c>
      <c r="J754" s="16">
        <f>ROUND(H754,0)</f>
        <v>2</v>
      </c>
      <c r="K754" s="18" t="str">
        <f>IF(I754=J754,"TAM",(CONCATENATE(G754,"/",H754)))</f>
        <v>1/2</v>
      </c>
      <c r="L754" s="29">
        <f>491.69*1/2</f>
        <v>245.845</v>
      </c>
      <c r="M754" s="30">
        <v>0</v>
      </c>
      <c r="N754" s="16" t="str">
        <f>IF(M754=0,"0",(O754*M754))</f>
        <v>0</v>
      </c>
      <c r="O754" s="16">
        <f>IF(W754=1,L754,((D754*G754/H754)-P754)/(1-V754)-S754-T754)</f>
        <v>245.845</v>
      </c>
      <c r="P754" s="16">
        <v>0</v>
      </c>
      <c r="Q754" s="16">
        <f>IF(U754=0,"0",O754*U754)</f>
        <v>82.29721157484757</v>
      </c>
      <c r="R754" s="17">
        <f>IF(U754=0,(((D754*G754/H754)-P754-S754-T754)/(1-V754)),(((D754*G754/H754)-P754-S754-T754)/(1-V754))-((D754*G754/H754)-P754-S754-T754)*U754/(1-V754))</f>
        <v>163.54778842515242</v>
      </c>
      <c r="S754" s="12">
        <v>0</v>
      </c>
      <c r="T754" s="12">
        <v>0</v>
      </c>
      <c r="U754" s="12">
        <v>0.334752431714485</v>
      </c>
      <c r="V754" s="12">
        <v>0</v>
      </c>
      <c r="W754" s="28">
        <f>IF(V754&gt;U754,1,V754)</f>
        <v>0</v>
      </c>
      <c r="X754" s="12">
        <v>1</v>
      </c>
      <c r="Y754" s="16">
        <v>0</v>
      </c>
      <c r="Z754" s="42" t="str">
        <f>IF(OR(W754=1,W754=0),"0",(Q754-N754))</f>
        <v>0</v>
      </c>
      <c r="AA754" s="53" t="s">
        <v>2255</v>
      </c>
      <c r="AB754" s="16" t="s">
        <v>2257</v>
      </c>
      <c r="AC754" s="16">
        <v>146.09</v>
      </c>
      <c r="AD754" s="16">
        <v>522.42</v>
      </c>
      <c r="AE754" s="16">
        <f>ROUND(AC754*100,0)</f>
        <v>14609</v>
      </c>
      <c r="AF754" s="16">
        <f>ROUND(AD754*100,0)</f>
        <v>52242</v>
      </c>
      <c r="AG754" s="19" t="str">
        <f>IF(AC754=AD754,"TAM",(CONCATENATE(AE754,"/",AF754)))</f>
        <v>14609/52242</v>
      </c>
      <c r="AH754" s="11" t="s">
        <v>50</v>
      </c>
      <c r="AI754" s="21" t="s">
        <v>50</v>
      </c>
      <c r="AJ754" s="21" t="s">
        <v>2256</v>
      </c>
      <c r="AK754" s="54" t="s">
        <v>50</v>
      </c>
      <c r="AL754" s="1" t="s">
        <v>50</v>
      </c>
    </row>
    <row r="755" spans="1:37" ht="12.75" customHeight="1">
      <c r="A755" s="43"/>
      <c r="B755" s="13"/>
      <c r="C755" s="13"/>
      <c r="D755" s="31"/>
      <c r="E755" s="14" t="s">
        <v>50</v>
      </c>
      <c r="F755" s="14"/>
      <c r="G755" s="14"/>
      <c r="H755" s="14"/>
      <c r="I755" s="31"/>
      <c r="J755" s="31"/>
      <c r="K755" s="15"/>
      <c r="L755" s="15"/>
      <c r="M755" s="15"/>
      <c r="N755" s="15"/>
      <c r="O755" s="15"/>
      <c r="P755" s="14"/>
      <c r="Q755" s="14"/>
      <c r="R755" s="14"/>
      <c r="S755" s="14"/>
      <c r="T755" s="14"/>
      <c r="U755" s="14"/>
      <c r="V755" s="14"/>
      <c r="W755" s="14"/>
      <c r="X755" s="14"/>
      <c r="Y755" s="13"/>
      <c r="Z755" s="44"/>
      <c r="AA755" s="43"/>
      <c r="AB755" s="13"/>
      <c r="AC755" s="13"/>
      <c r="AD755" s="13"/>
      <c r="AE755" s="13"/>
      <c r="AF755" s="13"/>
      <c r="AG755" s="13"/>
      <c r="AH755" s="13"/>
      <c r="AI755" s="13"/>
      <c r="AJ755" s="13"/>
      <c r="AK755" s="44"/>
    </row>
    <row r="756" spans="1:38" ht="12.75" customHeight="1">
      <c r="A756" s="41">
        <v>462</v>
      </c>
      <c r="B756" s="10">
        <v>1149</v>
      </c>
      <c r="C756" s="10" t="s">
        <v>2258</v>
      </c>
      <c r="D756" s="16">
        <v>491.69</v>
      </c>
      <c r="E756" s="20" t="s">
        <v>2259</v>
      </c>
      <c r="F756" s="20" t="s">
        <v>2260</v>
      </c>
      <c r="G756" s="12">
        <v>1</v>
      </c>
      <c r="H756" s="12">
        <v>2</v>
      </c>
      <c r="I756" s="16">
        <f>ROUND(G756,0)</f>
        <v>1</v>
      </c>
      <c r="J756" s="16">
        <f>ROUND(H756,0)</f>
        <v>2</v>
      </c>
      <c r="K756" s="18" t="str">
        <f>IF(I756=J756,"TAM",(CONCATENATE(G756,"/",H756)))</f>
        <v>1/2</v>
      </c>
      <c r="L756" s="29">
        <f>491.69*1/2</f>
        <v>245.845</v>
      </c>
      <c r="M756" s="30">
        <v>0</v>
      </c>
      <c r="N756" s="16" t="str">
        <f>IF(M756=0,"0",(O756*M756))</f>
        <v>0</v>
      </c>
      <c r="O756" s="16">
        <f>IF(W756=1,L756,((D756*G756/H756)-P756)/(1-V756)-S756-T756)</f>
        <v>245.845</v>
      </c>
      <c r="P756" s="16">
        <v>0</v>
      </c>
      <c r="Q756" s="16">
        <f>IF(U756=0,"0",O756*U756)</f>
        <v>82.29721157484757</v>
      </c>
      <c r="R756" s="17">
        <f>IF(U756=0,(((D756*G756/H756)-P756-S756-T756)/(1-V756)),(((D756*G756/H756)-P756-S756-T756)/(1-V756))-((D756*G756/H756)-P756-S756-T756)*U756/(1-V756))</f>
        <v>163.54778842515242</v>
      </c>
      <c r="S756" s="12">
        <v>0</v>
      </c>
      <c r="T756" s="12">
        <v>0</v>
      </c>
      <c r="U756" s="12">
        <v>0.334752431714485</v>
      </c>
      <c r="V756" s="12">
        <v>0</v>
      </c>
      <c r="W756" s="28">
        <f>IF(V756&gt;U756,1,V756)</f>
        <v>0</v>
      </c>
      <c r="X756" s="12">
        <v>1</v>
      </c>
      <c r="Y756" s="16">
        <v>0</v>
      </c>
      <c r="Z756" s="42" t="str">
        <f>IF(OR(W756=1,W756=0),"0",(Q756-N756))</f>
        <v>0</v>
      </c>
      <c r="AA756" s="53" t="s">
        <v>2261</v>
      </c>
      <c r="AB756" s="16" t="s">
        <v>2263</v>
      </c>
      <c r="AC756" s="16">
        <v>146.09</v>
      </c>
      <c r="AD756" s="16">
        <v>522.42</v>
      </c>
      <c r="AE756" s="16">
        <f>ROUND(AC756*100,0)</f>
        <v>14609</v>
      </c>
      <c r="AF756" s="16">
        <f>ROUND(AD756*100,0)</f>
        <v>52242</v>
      </c>
      <c r="AG756" s="19" t="str">
        <f>IF(AC756=AD756,"TAM",(CONCATENATE(AE756,"/",AF756)))</f>
        <v>14609/52242</v>
      </c>
      <c r="AH756" s="11" t="s">
        <v>50</v>
      </c>
      <c r="AI756" s="21" t="s">
        <v>50</v>
      </c>
      <c r="AJ756" s="21" t="s">
        <v>2262</v>
      </c>
      <c r="AK756" s="54" t="s">
        <v>50</v>
      </c>
      <c r="AL756" s="1" t="s">
        <v>50</v>
      </c>
    </row>
    <row r="757" spans="1:37" ht="12.75" customHeight="1">
      <c r="A757" s="43"/>
      <c r="B757" s="13"/>
      <c r="C757" s="13"/>
      <c r="D757" s="31"/>
      <c r="E757" s="14" t="s">
        <v>50</v>
      </c>
      <c r="F757" s="14"/>
      <c r="G757" s="14"/>
      <c r="H757" s="14"/>
      <c r="I757" s="31"/>
      <c r="J757" s="31"/>
      <c r="K757" s="15"/>
      <c r="L757" s="15"/>
      <c r="M757" s="15"/>
      <c r="N757" s="15"/>
      <c r="O757" s="15"/>
      <c r="P757" s="14"/>
      <c r="Q757" s="14"/>
      <c r="R757" s="14"/>
      <c r="S757" s="14"/>
      <c r="T757" s="14"/>
      <c r="U757" s="14"/>
      <c r="V757" s="14"/>
      <c r="W757" s="14"/>
      <c r="X757" s="14"/>
      <c r="Y757" s="13"/>
      <c r="Z757" s="44"/>
      <c r="AA757" s="43"/>
      <c r="AB757" s="13"/>
      <c r="AC757" s="13"/>
      <c r="AD757" s="13"/>
      <c r="AE757" s="13"/>
      <c r="AF757" s="13"/>
      <c r="AG757" s="13"/>
      <c r="AH757" s="13"/>
      <c r="AI757" s="13"/>
      <c r="AJ757" s="13"/>
      <c r="AK757" s="44"/>
    </row>
    <row r="758" spans="1:38" ht="12.75" customHeight="1">
      <c r="A758" s="41">
        <v>271</v>
      </c>
      <c r="B758" s="10">
        <v>1081</v>
      </c>
      <c r="C758" s="10" t="s">
        <v>2264</v>
      </c>
      <c r="D758" s="16">
        <v>499.07</v>
      </c>
      <c r="E758" s="20" t="s">
        <v>2265</v>
      </c>
      <c r="F758" s="20" t="s">
        <v>2266</v>
      </c>
      <c r="G758" s="12">
        <v>1</v>
      </c>
      <c r="H758" s="12">
        <v>2</v>
      </c>
      <c r="I758" s="16">
        <f>ROUND(G758,0)</f>
        <v>1</v>
      </c>
      <c r="J758" s="16">
        <f>ROUND(H758,0)</f>
        <v>2</v>
      </c>
      <c r="K758" s="18" t="str">
        <f>IF(I758=J758,"TAM",(CONCATENATE(G758,"/",H758)))</f>
        <v>1/2</v>
      </c>
      <c r="L758" s="29">
        <f>499.07*1/2</f>
        <v>249.535</v>
      </c>
      <c r="M758" s="30">
        <v>0</v>
      </c>
      <c r="N758" s="16" t="str">
        <f>IF(M758=0,"0",(O758*M758))</f>
        <v>0</v>
      </c>
      <c r="O758" s="16">
        <f>IF(W758=1,L758,((D758*G758/H758)-P758)/(1-V758)-S758-T758)</f>
        <v>249.535</v>
      </c>
      <c r="P758" s="16">
        <v>0</v>
      </c>
      <c r="Q758" s="16">
        <f>IF(U758=0,"0",O758*U758)</f>
        <v>83.53244804787401</v>
      </c>
      <c r="R758" s="17">
        <f>IF(U758=0,(((D758*G758/H758)-P758-S758-T758)/(1-V758)),(((D758*G758/H758)-P758-S758-T758)/(1-V758))-((D758*G758/H758)-P758-S758-T758)*U758/(1-V758))</f>
        <v>166.002551952126</v>
      </c>
      <c r="S758" s="12">
        <v>0</v>
      </c>
      <c r="T758" s="12">
        <v>0</v>
      </c>
      <c r="U758" s="12">
        <v>0.334752431714485</v>
      </c>
      <c r="V758" s="12">
        <v>0</v>
      </c>
      <c r="W758" s="28">
        <f>IF(V758&gt;U758,1,V758)</f>
        <v>0</v>
      </c>
      <c r="X758" s="12">
        <v>1</v>
      </c>
      <c r="Y758" s="16">
        <v>0</v>
      </c>
      <c r="Z758" s="42" t="str">
        <f>IF(OR(W758=1,W758=0),"0",(Q758-N758))</f>
        <v>0</v>
      </c>
      <c r="AA758" s="53" t="s">
        <v>2267</v>
      </c>
      <c r="AB758" s="16" t="s">
        <v>2269</v>
      </c>
      <c r="AC758" s="16">
        <v>166.01</v>
      </c>
      <c r="AD758" s="16">
        <v>690.94</v>
      </c>
      <c r="AE758" s="16">
        <f>ROUND(AC758*100,0)</f>
        <v>16601</v>
      </c>
      <c r="AF758" s="16">
        <f>ROUND(AD758*100,0)</f>
        <v>69094</v>
      </c>
      <c r="AG758" s="19" t="str">
        <f>IF(AC758=AD758,"TAM",(CONCATENATE(AE758,"/",AF758)))</f>
        <v>16601/69094</v>
      </c>
      <c r="AH758" s="11" t="s">
        <v>50</v>
      </c>
      <c r="AI758" s="21" t="s">
        <v>50</v>
      </c>
      <c r="AJ758" s="21" t="s">
        <v>2268</v>
      </c>
      <c r="AK758" s="54" t="s">
        <v>50</v>
      </c>
      <c r="AL758" s="1" t="s">
        <v>50</v>
      </c>
    </row>
    <row r="759" spans="1:37" ht="12.75" customHeight="1">
      <c r="A759" s="43"/>
      <c r="B759" s="13"/>
      <c r="C759" s="13"/>
      <c r="D759" s="31"/>
      <c r="E759" s="14" t="s">
        <v>50</v>
      </c>
      <c r="F759" s="14"/>
      <c r="G759" s="14"/>
      <c r="H759" s="14"/>
      <c r="I759" s="31"/>
      <c r="J759" s="31"/>
      <c r="K759" s="15"/>
      <c r="L759" s="15"/>
      <c r="M759" s="15"/>
      <c r="N759" s="15"/>
      <c r="O759" s="15"/>
      <c r="P759" s="14"/>
      <c r="Q759" s="14"/>
      <c r="R759" s="14"/>
      <c r="S759" s="14"/>
      <c r="T759" s="14"/>
      <c r="U759" s="14"/>
      <c r="V759" s="14"/>
      <c r="W759" s="14"/>
      <c r="X759" s="14"/>
      <c r="Y759" s="13"/>
      <c r="Z759" s="44"/>
      <c r="AA759" s="43"/>
      <c r="AB759" s="13"/>
      <c r="AC759" s="13"/>
      <c r="AD759" s="13"/>
      <c r="AE759" s="13"/>
      <c r="AF759" s="13"/>
      <c r="AG759" s="13"/>
      <c r="AH759" s="13"/>
      <c r="AI759" s="13"/>
      <c r="AJ759" s="13"/>
      <c r="AK759" s="44"/>
    </row>
    <row r="760" spans="1:38" ht="12.75" customHeight="1">
      <c r="A760" s="41">
        <v>272</v>
      </c>
      <c r="B760" s="10">
        <v>1081</v>
      </c>
      <c r="C760" s="10" t="s">
        <v>2270</v>
      </c>
      <c r="D760" s="16">
        <v>499.07</v>
      </c>
      <c r="E760" s="20" t="s">
        <v>2271</v>
      </c>
      <c r="F760" s="20" t="s">
        <v>2272</v>
      </c>
      <c r="G760" s="12">
        <v>1</v>
      </c>
      <c r="H760" s="12">
        <v>2</v>
      </c>
      <c r="I760" s="16">
        <f>ROUND(G760,0)</f>
        <v>1</v>
      </c>
      <c r="J760" s="16">
        <f>ROUND(H760,0)</f>
        <v>2</v>
      </c>
      <c r="K760" s="18" t="str">
        <f>IF(I760=J760,"TAM",(CONCATENATE(G760,"/",H760)))</f>
        <v>1/2</v>
      </c>
      <c r="L760" s="29">
        <f>499.07*1/2</f>
        <v>249.535</v>
      </c>
      <c r="M760" s="30">
        <v>0</v>
      </c>
      <c r="N760" s="16" t="str">
        <f>IF(M760=0,"0",(O760*M760))</f>
        <v>0</v>
      </c>
      <c r="O760" s="16">
        <f>IF(W760=1,L760,((D760*G760/H760)-P760)/(1-V760)-S760-T760)</f>
        <v>249.535</v>
      </c>
      <c r="P760" s="16">
        <v>0</v>
      </c>
      <c r="Q760" s="16">
        <f>IF(U760=0,"0",O760*U760)</f>
        <v>83.53244804787401</v>
      </c>
      <c r="R760" s="17">
        <f>IF(U760=0,(((D760*G760/H760)-P760-S760-T760)/(1-V760)),(((D760*G760/H760)-P760-S760-T760)/(1-V760))-((D760*G760/H760)-P760-S760-T760)*U760/(1-V760))</f>
        <v>166.002551952126</v>
      </c>
      <c r="S760" s="12">
        <v>0</v>
      </c>
      <c r="T760" s="12">
        <v>0</v>
      </c>
      <c r="U760" s="12">
        <v>0.334752431714485</v>
      </c>
      <c r="V760" s="12">
        <v>0</v>
      </c>
      <c r="W760" s="28">
        <f>IF(V760&gt;U760,1,V760)</f>
        <v>0</v>
      </c>
      <c r="X760" s="12">
        <v>1</v>
      </c>
      <c r="Y760" s="16">
        <v>0</v>
      </c>
      <c r="Z760" s="42" t="str">
        <f>IF(OR(W760=1,W760=0),"0",(Q760-N760))</f>
        <v>0</v>
      </c>
      <c r="AA760" s="53" t="s">
        <v>2273</v>
      </c>
      <c r="AB760" s="16" t="s">
        <v>2275</v>
      </c>
      <c r="AC760" s="16">
        <v>166</v>
      </c>
      <c r="AD760" s="16">
        <v>690.94</v>
      </c>
      <c r="AE760" s="16">
        <f>ROUND(AC760*100,0)</f>
        <v>16600</v>
      </c>
      <c r="AF760" s="16">
        <f>ROUND(AD760*100,0)</f>
        <v>69094</v>
      </c>
      <c r="AG760" s="19" t="str">
        <f>IF(AC760=AD760,"TAM",(CONCATENATE(AE760,"/",AF760)))</f>
        <v>16600/69094</v>
      </c>
      <c r="AH760" s="11" t="s">
        <v>50</v>
      </c>
      <c r="AI760" s="21" t="s">
        <v>50</v>
      </c>
      <c r="AJ760" s="21" t="s">
        <v>2274</v>
      </c>
      <c r="AK760" s="54" t="s">
        <v>50</v>
      </c>
      <c r="AL760" s="1" t="s">
        <v>50</v>
      </c>
    </row>
    <row r="761" spans="1:37" ht="12.75" customHeight="1">
      <c r="A761" s="43"/>
      <c r="B761" s="13"/>
      <c r="C761" s="13"/>
      <c r="D761" s="31"/>
      <c r="E761" s="14" t="s">
        <v>50</v>
      </c>
      <c r="F761" s="14"/>
      <c r="G761" s="14"/>
      <c r="H761" s="14"/>
      <c r="I761" s="31"/>
      <c r="J761" s="31"/>
      <c r="K761" s="15"/>
      <c r="L761" s="15"/>
      <c r="M761" s="15"/>
      <c r="N761" s="15"/>
      <c r="O761" s="15"/>
      <c r="P761" s="14"/>
      <c r="Q761" s="14"/>
      <c r="R761" s="14"/>
      <c r="S761" s="14"/>
      <c r="T761" s="14"/>
      <c r="U761" s="14"/>
      <c r="V761" s="14"/>
      <c r="W761" s="14"/>
      <c r="X761" s="14"/>
      <c r="Y761" s="13"/>
      <c r="Z761" s="44"/>
      <c r="AA761" s="43"/>
      <c r="AB761" s="13"/>
      <c r="AC761" s="13"/>
      <c r="AD761" s="13"/>
      <c r="AE761" s="13"/>
      <c r="AF761" s="13"/>
      <c r="AG761" s="13"/>
      <c r="AH761" s="13"/>
      <c r="AI761" s="13"/>
      <c r="AJ761" s="13"/>
      <c r="AK761" s="44"/>
    </row>
    <row r="762" spans="1:38" ht="12.75" customHeight="1">
      <c r="A762" s="41">
        <v>273</v>
      </c>
      <c r="B762" s="10">
        <v>1082</v>
      </c>
      <c r="C762" s="10" t="s">
        <v>2276</v>
      </c>
      <c r="D762" s="16">
        <v>539.54</v>
      </c>
      <c r="E762" s="20" t="s">
        <v>2277</v>
      </c>
      <c r="F762" s="20" t="s">
        <v>2278</v>
      </c>
      <c r="G762" s="12">
        <v>1</v>
      </c>
      <c r="H762" s="12">
        <v>1</v>
      </c>
      <c r="I762" s="16">
        <f>ROUND(G762,0)</f>
        <v>1</v>
      </c>
      <c r="J762" s="16">
        <f>ROUND(H762,0)</f>
        <v>1</v>
      </c>
      <c r="K762" s="18" t="str">
        <f>IF(I762=J762,"TAM",(CONCATENATE(G762,"/",H762)))</f>
        <v>TAM</v>
      </c>
      <c r="L762" s="29">
        <f>539.54*1/1</f>
        <v>539.54</v>
      </c>
      <c r="M762" s="30">
        <v>0</v>
      </c>
      <c r="N762" s="16" t="str">
        <f>IF(M762=0,"0",(O762*M762))</f>
        <v>0</v>
      </c>
      <c r="O762" s="16">
        <f>IF(W762=1,L762,((D762*G762/H762)-P762)/(1-V762)-S762-T762)</f>
        <v>539.54</v>
      </c>
      <c r="P762" s="16">
        <v>0</v>
      </c>
      <c r="Q762" s="16">
        <f>IF(U762=0,"0",O762*U762)</f>
        <v>180.6123270072332</v>
      </c>
      <c r="R762" s="17">
        <f>IF(U762=0,(((D762*G762/H762)-P762-S762-T762)/(1-V762)),(((D762*G762/H762)-P762-S762-T762)/(1-V762))-((D762*G762/H762)-P762-S762-T762)*U762/(1-V762))</f>
        <v>358.92767299276676</v>
      </c>
      <c r="S762" s="12">
        <v>0</v>
      </c>
      <c r="T762" s="12">
        <v>0</v>
      </c>
      <c r="U762" s="12">
        <v>0.334752431714485</v>
      </c>
      <c r="V762" s="12">
        <v>0</v>
      </c>
      <c r="W762" s="28">
        <f>IF(V762&gt;U762,1,V762)</f>
        <v>0</v>
      </c>
      <c r="X762" s="12">
        <v>1</v>
      </c>
      <c r="Y762" s="16">
        <v>0</v>
      </c>
      <c r="Z762" s="42" t="str">
        <f>IF(OR(W762=1,W762=0),"0",(Q762-N762))</f>
        <v>0</v>
      </c>
      <c r="AA762" s="53" t="s">
        <v>2279</v>
      </c>
      <c r="AB762" s="16" t="s">
        <v>2281</v>
      </c>
      <c r="AC762" s="16">
        <v>358.93</v>
      </c>
      <c r="AD762" s="16">
        <v>690.94</v>
      </c>
      <c r="AE762" s="16">
        <f>ROUND(AC762*100,0)</f>
        <v>35893</v>
      </c>
      <c r="AF762" s="16">
        <f>ROUND(AD762*100,0)</f>
        <v>69094</v>
      </c>
      <c r="AG762" s="19" t="str">
        <f>IF(AC762=AD762,"TAM",(CONCATENATE(AE762,"/",AF762)))</f>
        <v>35893/69094</v>
      </c>
      <c r="AH762" s="11" t="s">
        <v>50</v>
      </c>
      <c r="AI762" s="21" t="s">
        <v>50</v>
      </c>
      <c r="AJ762" s="21" t="s">
        <v>2280</v>
      </c>
      <c r="AK762" s="54" t="s">
        <v>50</v>
      </c>
      <c r="AL762" s="1" t="s">
        <v>50</v>
      </c>
    </row>
    <row r="763" spans="1:37" ht="12.75" customHeight="1">
      <c r="A763" s="43"/>
      <c r="B763" s="13"/>
      <c r="C763" s="13"/>
      <c r="D763" s="31"/>
      <c r="E763" s="14" t="s">
        <v>50</v>
      </c>
      <c r="F763" s="14"/>
      <c r="G763" s="14"/>
      <c r="H763" s="14"/>
      <c r="I763" s="31"/>
      <c r="J763" s="31"/>
      <c r="K763" s="15"/>
      <c r="L763" s="15"/>
      <c r="M763" s="15"/>
      <c r="N763" s="15"/>
      <c r="O763" s="15"/>
      <c r="P763" s="14"/>
      <c r="Q763" s="14"/>
      <c r="R763" s="14"/>
      <c r="S763" s="14"/>
      <c r="T763" s="14"/>
      <c r="U763" s="14"/>
      <c r="V763" s="14"/>
      <c r="W763" s="14"/>
      <c r="X763" s="14"/>
      <c r="Y763" s="13"/>
      <c r="Z763" s="44"/>
      <c r="AA763" s="43"/>
      <c r="AB763" s="13"/>
      <c r="AC763" s="13"/>
      <c r="AD763" s="13"/>
      <c r="AE763" s="13"/>
      <c r="AF763" s="13"/>
      <c r="AG763" s="13"/>
      <c r="AH763" s="13"/>
      <c r="AI763" s="13"/>
      <c r="AJ763" s="13"/>
      <c r="AK763" s="44"/>
    </row>
    <row r="764" spans="1:38" ht="12.75" customHeight="1">
      <c r="A764" s="41">
        <v>447</v>
      </c>
      <c r="B764" s="10">
        <v>1134</v>
      </c>
      <c r="C764" s="10" t="s">
        <v>2282</v>
      </c>
      <c r="D764" s="16">
        <v>1010.76</v>
      </c>
      <c r="E764" s="20" t="s">
        <v>2283</v>
      </c>
      <c r="F764" s="20" t="s">
        <v>2284</v>
      </c>
      <c r="G764" s="12">
        <v>1</v>
      </c>
      <c r="H764" s="12">
        <v>2</v>
      </c>
      <c r="I764" s="16">
        <f>ROUND(G764,0)</f>
        <v>1</v>
      </c>
      <c r="J764" s="16">
        <f>ROUND(H764,0)</f>
        <v>2</v>
      </c>
      <c r="K764" s="18" t="str">
        <f>IF(I764=J764,"TAM",(CONCATENATE(G764,"/",H764)))</f>
        <v>1/2</v>
      </c>
      <c r="L764" s="29">
        <f>1010.76*1/2</f>
        <v>505.38</v>
      </c>
      <c r="M764" s="30">
        <v>0</v>
      </c>
      <c r="N764" s="16" t="str">
        <f>IF(M764=0,"0",(O764*M764))</f>
        <v>0</v>
      </c>
      <c r="O764" s="16">
        <f>IF(W764=1,L764,((D764*G764/H764)-P764)/(1-V764)-S764-T764)</f>
        <v>505.38</v>
      </c>
      <c r="P764" s="16">
        <v>0</v>
      </c>
      <c r="Q764" s="16">
        <f>IF(U764=0,"0",O764*U764)</f>
        <v>169.1771839398664</v>
      </c>
      <c r="R764" s="17">
        <f>IF(U764=0,(((D764*G764/H764)-P764-S764-T764)/(1-V764)),(((D764*G764/H764)-P764-S764-T764)/(1-V764))-((D764*G764/H764)-P764-S764-T764)*U764/(1-V764))</f>
        <v>336.2028160601336</v>
      </c>
      <c r="S764" s="12">
        <v>0</v>
      </c>
      <c r="T764" s="12">
        <v>0</v>
      </c>
      <c r="U764" s="12">
        <v>0.334752431714485</v>
      </c>
      <c r="V764" s="12">
        <v>0</v>
      </c>
      <c r="W764" s="28">
        <f>IF(V764&gt;U764,1,V764)</f>
        <v>0</v>
      </c>
      <c r="X764" s="12">
        <v>1</v>
      </c>
      <c r="Y764" s="16">
        <v>0</v>
      </c>
      <c r="Z764" s="42" t="str">
        <f>IF(OR(W764=1,W764=0),"0",(Q764-N764))</f>
        <v>0</v>
      </c>
      <c r="AA764" s="53" t="s">
        <v>2285</v>
      </c>
      <c r="AB764" s="16" t="s">
        <v>2287</v>
      </c>
      <c r="AC764" s="16">
        <v>336.21</v>
      </c>
      <c r="AD764" s="16">
        <v>672.41</v>
      </c>
      <c r="AE764" s="16">
        <f>ROUND(AC764*100,0)</f>
        <v>33621</v>
      </c>
      <c r="AF764" s="16">
        <f>ROUND(AD764*100,0)</f>
        <v>67241</v>
      </c>
      <c r="AG764" s="19" t="str">
        <f>IF(AC764=AD764,"TAM",(CONCATENATE(AE764,"/",AF764)))</f>
        <v>33621/67241</v>
      </c>
      <c r="AH764" s="11" t="s">
        <v>50</v>
      </c>
      <c r="AI764" s="21" t="s">
        <v>50</v>
      </c>
      <c r="AJ764" s="21" t="s">
        <v>2286</v>
      </c>
      <c r="AK764" s="54" t="s">
        <v>50</v>
      </c>
      <c r="AL764" s="1" t="s">
        <v>50</v>
      </c>
    </row>
    <row r="765" spans="1:37" ht="12.75" customHeight="1">
      <c r="A765" s="43"/>
      <c r="B765" s="13"/>
      <c r="C765" s="13"/>
      <c r="D765" s="31"/>
      <c r="E765" s="14" t="s">
        <v>50</v>
      </c>
      <c r="F765" s="14"/>
      <c r="G765" s="14"/>
      <c r="H765" s="14"/>
      <c r="I765" s="31"/>
      <c r="J765" s="31"/>
      <c r="K765" s="15"/>
      <c r="L765" s="15"/>
      <c r="M765" s="15"/>
      <c r="N765" s="15"/>
      <c r="O765" s="15"/>
      <c r="P765" s="14"/>
      <c r="Q765" s="14"/>
      <c r="R765" s="14"/>
      <c r="S765" s="14"/>
      <c r="T765" s="14"/>
      <c r="U765" s="14"/>
      <c r="V765" s="14"/>
      <c r="W765" s="14"/>
      <c r="X765" s="14"/>
      <c r="Y765" s="13"/>
      <c r="Z765" s="44"/>
      <c r="AA765" s="43"/>
      <c r="AB765" s="13"/>
      <c r="AC765" s="13"/>
      <c r="AD765" s="13"/>
      <c r="AE765" s="13"/>
      <c r="AF765" s="13"/>
      <c r="AG765" s="13"/>
      <c r="AH765" s="13"/>
      <c r="AI765" s="13"/>
      <c r="AJ765" s="13"/>
      <c r="AK765" s="44"/>
    </row>
    <row r="766" spans="1:38" ht="12.75" customHeight="1">
      <c r="A766" s="41">
        <v>448</v>
      </c>
      <c r="B766" s="10">
        <v>1134</v>
      </c>
      <c r="C766" s="10" t="s">
        <v>2288</v>
      </c>
      <c r="D766" s="16">
        <v>1010.76</v>
      </c>
      <c r="E766" s="20" t="s">
        <v>2289</v>
      </c>
      <c r="F766" s="20" t="s">
        <v>2290</v>
      </c>
      <c r="G766" s="12">
        <v>1</v>
      </c>
      <c r="H766" s="12">
        <v>2</v>
      </c>
      <c r="I766" s="16">
        <f>ROUND(G766,0)</f>
        <v>1</v>
      </c>
      <c r="J766" s="16">
        <f>ROUND(H766,0)</f>
        <v>2</v>
      </c>
      <c r="K766" s="18" t="str">
        <f>IF(I766=J766,"TAM",(CONCATENATE(G766,"/",H766)))</f>
        <v>1/2</v>
      </c>
      <c r="L766" s="29">
        <f>1010.76*1/2</f>
        <v>505.38</v>
      </c>
      <c r="M766" s="30">
        <v>0</v>
      </c>
      <c r="N766" s="16" t="str">
        <f>IF(M766=0,"0",(O766*M766))</f>
        <v>0</v>
      </c>
      <c r="O766" s="16">
        <f>IF(W766=1,L766,((D766*G766/H766)-P766)/(1-V766)-S766-T766)</f>
        <v>505.38</v>
      </c>
      <c r="P766" s="16">
        <v>0</v>
      </c>
      <c r="Q766" s="16">
        <f>IF(U766=0,"0",O766*U766)</f>
        <v>169.1771839398664</v>
      </c>
      <c r="R766" s="17">
        <f>IF(U766=0,(((D766*G766/H766)-P766-S766-T766)/(1-V766)),(((D766*G766/H766)-P766-S766-T766)/(1-V766))-((D766*G766/H766)-P766-S766-T766)*U766/(1-V766))</f>
        <v>336.2028160601336</v>
      </c>
      <c r="S766" s="12">
        <v>0</v>
      </c>
      <c r="T766" s="12">
        <v>0</v>
      </c>
      <c r="U766" s="12">
        <v>0.334752431714485</v>
      </c>
      <c r="V766" s="12">
        <v>0</v>
      </c>
      <c r="W766" s="28">
        <f>IF(V766&gt;U766,1,V766)</f>
        <v>0</v>
      </c>
      <c r="X766" s="12">
        <v>1</v>
      </c>
      <c r="Y766" s="16">
        <v>0</v>
      </c>
      <c r="Z766" s="42" t="str">
        <f>IF(OR(W766=1,W766=0),"0",(Q766-N766))</f>
        <v>0</v>
      </c>
      <c r="AA766" s="53" t="s">
        <v>2291</v>
      </c>
      <c r="AB766" s="16" t="s">
        <v>2293</v>
      </c>
      <c r="AC766" s="16">
        <v>336.2</v>
      </c>
      <c r="AD766" s="16">
        <v>672.41</v>
      </c>
      <c r="AE766" s="16">
        <f>ROUND(AC766*100,0)</f>
        <v>33620</v>
      </c>
      <c r="AF766" s="16">
        <f>ROUND(AD766*100,0)</f>
        <v>67241</v>
      </c>
      <c r="AG766" s="19" t="str">
        <f>IF(AC766=AD766,"TAM",(CONCATENATE(AE766,"/",AF766)))</f>
        <v>33620/67241</v>
      </c>
      <c r="AH766" s="11" t="s">
        <v>50</v>
      </c>
      <c r="AI766" s="21" t="s">
        <v>50</v>
      </c>
      <c r="AJ766" s="21" t="s">
        <v>2292</v>
      </c>
      <c r="AK766" s="54" t="s">
        <v>50</v>
      </c>
      <c r="AL766" s="1" t="s">
        <v>50</v>
      </c>
    </row>
    <row r="767" spans="1:37" ht="12.75" customHeight="1">
      <c r="A767" s="43"/>
      <c r="B767" s="13"/>
      <c r="C767" s="13"/>
      <c r="D767" s="31"/>
      <c r="E767" s="14" t="s">
        <v>50</v>
      </c>
      <c r="F767" s="14"/>
      <c r="G767" s="14"/>
      <c r="H767" s="14"/>
      <c r="I767" s="31"/>
      <c r="J767" s="31"/>
      <c r="K767" s="15"/>
      <c r="L767" s="15"/>
      <c r="M767" s="15"/>
      <c r="N767" s="15"/>
      <c r="O767" s="15"/>
      <c r="P767" s="14"/>
      <c r="Q767" s="14"/>
      <c r="R767" s="14"/>
      <c r="S767" s="14"/>
      <c r="T767" s="14"/>
      <c r="U767" s="14"/>
      <c r="V767" s="14"/>
      <c r="W767" s="14"/>
      <c r="X767" s="14"/>
      <c r="Y767" s="13"/>
      <c r="Z767" s="44"/>
      <c r="AA767" s="43"/>
      <c r="AB767" s="13"/>
      <c r="AC767" s="13"/>
      <c r="AD767" s="13"/>
      <c r="AE767" s="13"/>
      <c r="AF767" s="13"/>
      <c r="AG767" s="13"/>
      <c r="AH767" s="13"/>
      <c r="AI767" s="13"/>
      <c r="AJ767" s="13"/>
      <c r="AK767" s="44"/>
    </row>
    <row r="768" spans="1:38" ht="12.75" customHeight="1">
      <c r="A768" s="41">
        <v>262</v>
      </c>
      <c r="B768" s="10">
        <v>1078</v>
      </c>
      <c r="C768" s="10" t="s">
        <v>2294</v>
      </c>
      <c r="D768" s="16">
        <v>1332.89</v>
      </c>
      <c r="E768" s="20" t="s">
        <v>2295</v>
      </c>
      <c r="F768" s="20" t="s">
        <v>2296</v>
      </c>
      <c r="G768" s="12">
        <v>1</v>
      </c>
      <c r="H768" s="12">
        <v>1</v>
      </c>
      <c r="I768" s="16">
        <f>ROUND(G768,0)</f>
        <v>1</v>
      </c>
      <c r="J768" s="16">
        <f>ROUND(H768,0)</f>
        <v>1</v>
      </c>
      <c r="K768" s="18" t="str">
        <f>IF(I768=J768,"TAM",(CONCATENATE(G768,"/",H768)))</f>
        <v>TAM</v>
      </c>
      <c r="L768" s="29">
        <f>1332.89*1/1</f>
        <v>1332.89</v>
      </c>
      <c r="M768" s="30">
        <v>0</v>
      </c>
      <c r="N768" s="16" t="str">
        <f>IF(M768=0,"0",(O768*M768))</f>
        <v>0</v>
      </c>
      <c r="O768" s="16">
        <f>IF(W768=1,L768,((D768*G768/H768)-P768)/(1-V768)-S768-T768)</f>
        <v>1332.89</v>
      </c>
      <c r="P768" s="16">
        <v>0</v>
      </c>
      <c r="Q768" s="16">
        <f>IF(U768=0,"0",O768*U768)</f>
        <v>446.18816870791994</v>
      </c>
      <c r="R768" s="17">
        <f>IF(U768=0,(((D768*G768/H768)-P768-S768-T768)/(1-V768)),(((D768*G768/H768)-P768-S768-T768)/(1-V768))-((D768*G768/H768)-P768-S768-T768)*U768/(1-V768))</f>
        <v>886.7018312920802</v>
      </c>
      <c r="S768" s="12">
        <v>0</v>
      </c>
      <c r="T768" s="12">
        <v>0</v>
      </c>
      <c r="U768" s="12">
        <v>0.334752431714485</v>
      </c>
      <c r="V768" s="12">
        <v>0</v>
      </c>
      <c r="W768" s="28">
        <f>IF(V768&gt;U768,1,V768)</f>
        <v>0</v>
      </c>
      <c r="X768" s="12">
        <v>1</v>
      </c>
      <c r="Y768" s="16">
        <v>0</v>
      </c>
      <c r="Z768" s="42" t="str">
        <f>IF(OR(W768=1,W768=0),"0",(Q768-N768))</f>
        <v>0</v>
      </c>
      <c r="AA768" s="53" t="s">
        <v>2297</v>
      </c>
      <c r="AB768" s="16" t="s">
        <v>2299</v>
      </c>
      <c r="AC768" s="16">
        <v>798.13</v>
      </c>
      <c r="AD768" s="16">
        <v>798.13</v>
      </c>
      <c r="AE768" s="16">
        <f>ROUND(AC768*100,0)</f>
        <v>79813</v>
      </c>
      <c r="AF768" s="16">
        <f>ROUND(AD768*100,0)</f>
        <v>79813</v>
      </c>
      <c r="AG768" s="19" t="str">
        <f>IF(AC768=AD768,"TAM",(CONCATENATE(AE768,"/",AF768)))</f>
        <v>TAM</v>
      </c>
      <c r="AH768" s="11" t="s">
        <v>50</v>
      </c>
      <c r="AI768" s="21" t="s">
        <v>50</v>
      </c>
      <c r="AJ768" s="21" t="s">
        <v>2298</v>
      </c>
      <c r="AK768" s="54" t="s">
        <v>50</v>
      </c>
      <c r="AL768" s="1" t="s">
        <v>50</v>
      </c>
    </row>
    <row r="769" spans="1:37" ht="12.75" customHeight="1">
      <c r="A769" s="43"/>
      <c r="B769" s="13"/>
      <c r="C769" s="13"/>
      <c r="D769" s="31"/>
      <c r="E769" s="14" t="s">
        <v>50</v>
      </c>
      <c r="F769" s="14"/>
      <c r="G769" s="14"/>
      <c r="H769" s="14"/>
      <c r="I769" s="31"/>
      <c r="J769" s="31"/>
      <c r="K769" s="15"/>
      <c r="L769" s="15"/>
      <c r="M769" s="15"/>
      <c r="N769" s="15"/>
      <c r="O769" s="15"/>
      <c r="P769" s="14"/>
      <c r="Q769" s="14"/>
      <c r="R769" s="14"/>
      <c r="S769" s="14"/>
      <c r="T769" s="14"/>
      <c r="U769" s="14"/>
      <c r="V769" s="14"/>
      <c r="W769" s="14"/>
      <c r="X769" s="14"/>
      <c r="Y769" s="13"/>
      <c r="Z769" s="44"/>
      <c r="AA769" s="43"/>
      <c r="AB769" s="13"/>
      <c r="AC769" s="13"/>
      <c r="AD769" s="13"/>
      <c r="AE769" s="13"/>
      <c r="AF769" s="13"/>
      <c r="AG769" s="13"/>
      <c r="AH769" s="13"/>
      <c r="AI769" s="13"/>
      <c r="AJ769" s="13"/>
      <c r="AK769" s="44"/>
    </row>
    <row r="770" spans="1:38" ht="12.75" customHeight="1">
      <c r="A770" s="41">
        <v>306</v>
      </c>
      <c r="B770" s="10">
        <v>1092</v>
      </c>
      <c r="C770" s="10" t="s">
        <v>2300</v>
      </c>
      <c r="D770" s="16">
        <v>742.58</v>
      </c>
      <c r="E770" s="20" t="s">
        <v>2301</v>
      </c>
      <c r="F770" s="20" t="s">
        <v>2302</v>
      </c>
      <c r="G770" s="12">
        <v>1</v>
      </c>
      <c r="H770" s="12">
        <v>1</v>
      </c>
      <c r="I770" s="16">
        <f>ROUND(G770,0)</f>
        <v>1</v>
      </c>
      <c r="J770" s="16">
        <f>ROUND(H770,0)</f>
        <v>1</v>
      </c>
      <c r="K770" s="18" t="str">
        <f>IF(I770=J770,"TAM",(CONCATENATE(G770,"/",H770)))</f>
        <v>TAM</v>
      </c>
      <c r="L770" s="29">
        <f>742.58*1/1</f>
        <v>742.58</v>
      </c>
      <c r="M770" s="30">
        <v>0</v>
      </c>
      <c r="N770" s="16" t="str">
        <f>IF(M770=0,"0",(O770*M770))</f>
        <v>0</v>
      </c>
      <c r="O770" s="16">
        <f>IF(W770=1,L770,((D770*G770/H770)-P770)/(1-V770)-S770-T770)</f>
        <v>742.58</v>
      </c>
      <c r="P770" s="16">
        <v>0</v>
      </c>
      <c r="Q770" s="16">
        <f>IF(U770=0,"0",O770*U770)</f>
        <v>248.58046074254227</v>
      </c>
      <c r="R770" s="17">
        <f>IF(U770=0,(((D770*G770/H770)-P770-S770-T770)/(1-V770)),(((D770*G770/H770)-P770-S770-T770)/(1-V770))-((D770*G770/H770)-P770-S770-T770)*U770/(1-V770))</f>
        <v>493.99953925745774</v>
      </c>
      <c r="S770" s="12">
        <v>0</v>
      </c>
      <c r="T770" s="12">
        <v>0</v>
      </c>
      <c r="U770" s="12">
        <v>0.334752431714485</v>
      </c>
      <c r="V770" s="12">
        <v>0</v>
      </c>
      <c r="W770" s="28">
        <f>IF(V770&gt;U770,1,V770)</f>
        <v>0</v>
      </c>
      <c r="X770" s="12">
        <v>1</v>
      </c>
      <c r="Y770" s="16">
        <v>0</v>
      </c>
      <c r="Z770" s="42" t="str">
        <f>IF(OR(W770=1,W770=0),"0",(Q770-N770))</f>
        <v>0</v>
      </c>
      <c r="AA770" s="53" t="s">
        <v>2303</v>
      </c>
      <c r="AB770" s="16" t="s">
        <v>2304</v>
      </c>
      <c r="AC770" s="16">
        <v>494</v>
      </c>
      <c r="AD770" s="16">
        <v>717.19</v>
      </c>
      <c r="AE770" s="16">
        <f>ROUND(AC770*100,0)</f>
        <v>49400</v>
      </c>
      <c r="AF770" s="16">
        <f>ROUND(AD770*100,0)</f>
        <v>71719</v>
      </c>
      <c r="AG770" s="19" t="str">
        <f>IF(AC770=AD770,"TAM",(CONCATENATE(AE770,"/",AF770)))</f>
        <v>49400/71719</v>
      </c>
      <c r="AH770" s="11" t="s">
        <v>50</v>
      </c>
      <c r="AI770" s="21" t="s">
        <v>50</v>
      </c>
      <c r="AJ770" s="71" t="s">
        <v>2425</v>
      </c>
      <c r="AK770" s="54" t="s">
        <v>50</v>
      </c>
      <c r="AL770" s="1" t="s">
        <v>50</v>
      </c>
    </row>
    <row r="771" spans="1:37" ht="12.75" customHeight="1">
      <c r="A771" s="43"/>
      <c r="B771" s="13"/>
      <c r="C771" s="13"/>
      <c r="D771" s="31"/>
      <c r="E771" s="14" t="s">
        <v>50</v>
      </c>
      <c r="F771" s="14"/>
      <c r="G771" s="14"/>
      <c r="H771" s="14"/>
      <c r="I771" s="31"/>
      <c r="J771" s="31"/>
      <c r="K771" s="15"/>
      <c r="L771" s="15"/>
      <c r="M771" s="15"/>
      <c r="N771" s="15"/>
      <c r="O771" s="15"/>
      <c r="P771" s="14"/>
      <c r="Q771" s="14"/>
      <c r="R771" s="14"/>
      <c r="S771" s="14"/>
      <c r="T771" s="14"/>
      <c r="U771" s="14"/>
      <c r="V771" s="14"/>
      <c r="W771" s="14"/>
      <c r="X771" s="14"/>
      <c r="Y771" s="13"/>
      <c r="Z771" s="44"/>
      <c r="AA771" s="43"/>
      <c r="AB771" s="13"/>
      <c r="AC771" s="13"/>
      <c r="AD771" s="13"/>
      <c r="AE771" s="13"/>
      <c r="AF771" s="13"/>
      <c r="AG771" s="13"/>
      <c r="AH771" s="13"/>
      <c r="AI771" s="13"/>
      <c r="AJ771" s="72"/>
      <c r="AK771" s="44"/>
    </row>
    <row r="772" spans="1:38" ht="12.75" customHeight="1">
      <c r="A772" s="41">
        <v>437</v>
      </c>
      <c r="B772" s="10">
        <v>1131</v>
      </c>
      <c r="C772" s="10" t="s">
        <v>2305</v>
      </c>
      <c r="D772" s="16">
        <v>2145.74</v>
      </c>
      <c r="E772" s="20" t="s">
        <v>2306</v>
      </c>
      <c r="F772" s="20" t="s">
        <v>2307</v>
      </c>
      <c r="G772" s="12">
        <v>1</v>
      </c>
      <c r="H772" s="12">
        <v>2</v>
      </c>
      <c r="I772" s="16">
        <f>ROUND(G772,0)</f>
        <v>1</v>
      </c>
      <c r="J772" s="16">
        <f>ROUND(H772,0)</f>
        <v>2</v>
      </c>
      <c r="K772" s="18" t="str">
        <f>IF(I772=J772,"TAM",(CONCATENATE(G772,"/",H772)))</f>
        <v>1/2</v>
      </c>
      <c r="L772" s="29">
        <f>2145.74*1/2</f>
        <v>1072.87</v>
      </c>
      <c r="M772" s="30">
        <v>0</v>
      </c>
      <c r="N772" s="16" t="str">
        <f>IF(M772=0,"0",(O772*M772))</f>
        <v>0</v>
      </c>
      <c r="O772" s="16">
        <f>IF(W772=1,L772,((D772*G772/H772)-P772)/(1-V772)-S772-T772)</f>
        <v>1072.87</v>
      </c>
      <c r="P772" s="16">
        <v>0</v>
      </c>
      <c r="Q772" s="16">
        <f>IF(U772=0,"0",O772*U772)</f>
        <v>359.14584141351946</v>
      </c>
      <c r="R772" s="17">
        <f>IF(U772=0,(((D772*G772/H772)-P772-S772-T772)/(1-V772)),(((D772*G772/H772)-P772-S772-T772)/(1-V772))-((D772*G772/H772)-P772-S772-T772)*U772/(1-V772))</f>
        <v>713.7241585864804</v>
      </c>
      <c r="S772" s="12">
        <v>0</v>
      </c>
      <c r="T772" s="12">
        <v>0</v>
      </c>
      <c r="U772" s="12">
        <v>0.334752431714485</v>
      </c>
      <c r="V772" s="12">
        <v>0</v>
      </c>
      <c r="W772" s="28">
        <f>IF(V772&gt;U772,1,V772)</f>
        <v>0</v>
      </c>
      <c r="X772" s="12">
        <v>1</v>
      </c>
      <c r="Y772" s="16">
        <v>0</v>
      </c>
      <c r="Z772" s="42" t="str">
        <f>IF(OR(W772=1,W772=0),"0",(Q772-N772))</f>
        <v>0</v>
      </c>
      <c r="AA772" s="53" t="s">
        <v>2308</v>
      </c>
      <c r="AB772" s="16" t="s">
        <v>2309</v>
      </c>
      <c r="AC772" s="16">
        <v>111.6</v>
      </c>
      <c r="AD772" s="16">
        <v>717.19</v>
      </c>
      <c r="AE772" s="16">
        <f>ROUND(AC772*100,0)</f>
        <v>11160</v>
      </c>
      <c r="AF772" s="16">
        <f>ROUND(AD772*100,0)</f>
        <v>71719</v>
      </c>
      <c r="AG772" s="19" t="str">
        <f>IF(AC772=AD772,"TAM",(CONCATENATE(AE772,"/",AF772)))</f>
        <v>11160/71719</v>
      </c>
      <c r="AH772" s="11" t="s">
        <v>50</v>
      </c>
      <c r="AI772" s="21" t="s">
        <v>50</v>
      </c>
      <c r="AJ772" s="71" t="s">
        <v>2425</v>
      </c>
      <c r="AK772" s="54" t="s">
        <v>50</v>
      </c>
      <c r="AL772" s="1" t="s">
        <v>50</v>
      </c>
    </row>
    <row r="773" spans="1:37" ht="12.75" customHeight="1">
      <c r="A773" s="43"/>
      <c r="B773" s="13"/>
      <c r="C773" s="13"/>
      <c r="D773" s="31"/>
      <c r="E773" s="14" t="s">
        <v>50</v>
      </c>
      <c r="F773" s="14"/>
      <c r="G773" s="14"/>
      <c r="H773" s="14"/>
      <c r="I773" s="31"/>
      <c r="J773" s="31"/>
      <c r="K773" s="15"/>
      <c r="L773" s="15"/>
      <c r="M773" s="15"/>
      <c r="N773" s="15"/>
      <c r="O773" s="15"/>
      <c r="P773" s="14"/>
      <c r="Q773" s="14"/>
      <c r="R773" s="14"/>
      <c r="S773" s="14"/>
      <c r="T773" s="14"/>
      <c r="U773" s="14"/>
      <c r="V773" s="14"/>
      <c r="W773" s="14"/>
      <c r="X773" s="14"/>
      <c r="Y773" s="13"/>
      <c r="Z773" s="44"/>
      <c r="AA773" s="43"/>
      <c r="AB773" s="13"/>
      <c r="AC773" s="13"/>
      <c r="AD773" s="13"/>
      <c r="AE773" s="13"/>
      <c r="AF773" s="13"/>
      <c r="AG773" s="13"/>
      <c r="AH773" s="13"/>
      <c r="AI773" s="13"/>
      <c r="AJ773" s="72"/>
      <c r="AK773" s="44"/>
    </row>
    <row r="774" spans="1:38" ht="12.75" customHeight="1">
      <c r="A774" s="41">
        <v>436</v>
      </c>
      <c r="B774" s="10">
        <v>1131</v>
      </c>
      <c r="C774" s="10" t="s">
        <v>2310</v>
      </c>
      <c r="D774" s="16">
        <v>2145.74</v>
      </c>
      <c r="E774" s="20" t="s">
        <v>2311</v>
      </c>
      <c r="F774" s="20" t="s">
        <v>2312</v>
      </c>
      <c r="G774" s="12">
        <v>1</v>
      </c>
      <c r="H774" s="12">
        <v>2</v>
      </c>
      <c r="I774" s="16">
        <f>ROUND(G774,0)</f>
        <v>1</v>
      </c>
      <c r="J774" s="16">
        <f>ROUND(H774,0)</f>
        <v>2</v>
      </c>
      <c r="K774" s="18" t="str">
        <f>IF(I774=J774,"TAM",(CONCATENATE(G774,"/",H774)))</f>
        <v>1/2</v>
      </c>
      <c r="L774" s="29">
        <f>2145.74*1/2</f>
        <v>1072.87</v>
      </c>
      <c r="M774" s="30">
        <v>0</v>
      </c>
      <c r="N774" s="16" t="str">
        <f>IF(M774=0,"0",(O774*M774))</f>
        <v>0</v>
      </c>
      <c r="O774" s="16">
        <f>IF(W774=1,L774,((D774*G774/H774)-P774)/(1-V774)-S774-T774)</f>
        <v>1072.87</v>
      </c>
      <c r="P774" s="16">
        <v>0</v>
      </c>
      <c r="Q774" s="16">
        <f>IF(U774=0,"0",O774*U774)</f>
        <v>359.14584141351946</v>
      </c>
      <c r="R774" s="17">
        <f>IF(U774=0,(((D774*G774/H774)-P774-S774-T774)/(1-V774)),(((D774*G774/H774)-P774-S774-T774)/(1-V774))-((D774*G774/H774)-P774-S774-T774)*U774/(1-V774))</f>
        <v>713.7241585864804</v>
      </c>
      <c r="S774" s="12">
        <v>0</v>
      </c>
      <c r="T774" s="12">
        <v>0</v>
      </c>
      <c r="U774" s="12">
        <v>0.334752431714485</v>
      </c>
      <c r="V774" s="12">
        <v>0</v>
      </c>
      <c r="W774" s="28">
        <f>IF(V774&gt;U774,1,V774)</f>
        <v>0</v>
      </c>
      <c r="X774" s="12">
        <v>1</v>
      </c>
      <c r="Y774" s="16">
        <v>0</v>
      </c>
      <c r="Z774" s="42" t="str">
        <f>IF(OR(W774=1,W774=0),"0",(Q774-N774))</f>
        <v>0</v>
      </c>
      <c r="AA774" s="53" t="s">
        <v>2313</v>
      </c>
      <c r="AB774" s="16" t="s">
        <v>2314</v>
      </c>
      <c r="AC774" s="16">
        <v>111.59</v>
      </c>
      <c r="AD774" s="16">
        <v>717.19</v>
      </c>
      <c r="AE774" s="16">
        <f>ROUND(AC774*100,0)</f>
        <v>11159</v>
      </c>
      <c r="AF774" s="16">
        <f>ROUND(AD774*100,0)</f>
        <v>71719</v>
      </c>
      <c r="AG774" s="19" t="str">
        <f>IF(AC774=AD774,"TAM",(CONCATENATE(AE774,"/",AF774)))</f>
        <v>11159/71719</v>
      </c>
      <c r="AH774" s="11" t="s">
        <v>50</v>
      </c>
      <c r="AI774" s="21" t="s">
        <v>50</v>
      </c>
      <c r="AJ774" s="71" t="s">
        <v>2425</v>
      </c>
      <c r="AK774" s="54" t="s">
        <v>50</v>
      </c>
      <c r="AL774" s="1" t="s">
        <v>50</v>
      </c>
    </row>
    <row r="775" spans="1:37" ht="12.75" customHeight="1">
      <c r="A775" s="43"/>
      <c r="B775" s="13"/>
      <c r="C775" s="13"/>
      <c r="D775" s="31"/>
      <c r="E775" s="14" t="s">
        <v>50</v>
      </c>
      <c r="F775" s="14"/>
      <c r="G775" s="14"/>
      <c r="H775" s="14"/>
      <c r="I775" s="31"/>
      <c r="J775" s="31"/>
      <c r="K775" s="15"/>
      <c r="L775" s="15"/>
      <c r="M775" s="15"/>
      <c r="N775" s="15"/>
      <c r="O775" s="15"/>
      <c r="P775" s="14"/>
      <c r="Q775" s="14"/>
      <c r="R775" s="14"/>
      <c r="S775" s="14"/>
      <c r="T775" s="14"/>
      <c r="U775" s="14"/>
      <c r="V775" s="14"/>
      <c r="W775" s="14"/>
      <c r="X775" s="14"/>
      <c r="Y775" s="13"/>
      <c r="Z775" s="44"/>
      <c r="AA775" s="43"/>
      <c r="AB775" s="13"/>
      <c r="AC775" s="13"/>
      <c r="AD775" s="13"/>
      <c r="AE775" s="13"/>
      <c r="AF775" s="13"/>
      <c r="AG775" s="13"/>
      <c r="AH775" s="13"/>
      <c r="AI775" s="13"/>
      <c r="AJ775" s="72"/>
      <c r="AK775" s="44"/>
    </row>
    <row r="776" spans="1:38" ht="12.75" customHeight="1">
      <c r="A776" s="41">
        <v>305</v>
      </c>
      <c r="B776" s="10">
        <v>1091</v>
      </c>
      <c r="C776" s="10" t="s">
        <v>2315</v>
      </c>
      <c r="D776" s="16">
        <v>871.11</v>
      </c>
      <c r="E776" s="20" t="s">
        <v>2316</v>
      </c>
      <c r="F776" s="20" t="s">
        <v>2317</v>
      </c>
      <c r="G776" s="12">
        <v>1</v>
      </c>
      <c r="H776" s="12">
        <v>1</v>
      </c>
      <c r="I776" s="16">
        <f>ROUND(G776,0)</f>
        <v>1</v>
      </c>
      <c r="J776" s="16">
        <f>ROUND(H776,0)</f>
        <v>1</v>
      </c>
      <c r="K776" s="18" t="str">
        <f>IF(I776=J776,"TAM",(CONCATENATE(G776,"/",H776)))</f>
        <v>TAM</v>
      </c>
      <c r="L776" s="29">
        <f>871.11*1/1</f>
        <v>871.11</v>
      </c>
      <c r="M776" s="30">
        <v>0</v>
      </c>
      <c r="N776" s="16" t="str">
        <f>IF(M776=0,"0",(O776*M776))</f>
        <v>0</v>
      </c>
      <c r="O776" s="16">
        <f>IF(W776=1,L776,((D776*G776/H776)-P776)/(1-V776)-S776-T776)</f>
        <v>871.11</v>
      </c>
      <c r="P776" s="16">
        <v>0</v>
      </c>
      <c r="Q776" s="16">
        <f>IF(U776=0,"0",O776*U776)</f>
        <v>291.60619079080504</v>
      </c>
      <c r="R776" s="17">
        <f>IF(U776=0,(((D776*G776/H776)-P776-S776-T776)/(1-V776)),(((D776*G776/H776)-P776-S776-T776)/(1-V776))-((D776*G776/H776)-P776-S776-T776)*U776/(1-V776))</f>
        <v>579.503809209195</v>
      </c>
      <c r="S776" s="12">
        <v>0</v>
      </c>
      <c r="T776" s="12">
        <v>0</v>
      </c>
      <c r="U776" s="12">
        <v>0.334752431714485</v>
      </c>
      <c r="V776" s="12">
        <v>0</v>
      </c>
      <c r="W776" s="28">
        <f>IF(V776&gt;U776,1,V776)</f>
        <v>0</v>
      </c>
      <c r="X776" s="12">
        <v>1</v>
      </c>
      <c r="Y776" s="16">
        <v>0</v>
      </c>
      <c r="Z776" s="42" t="str">
        <f>IF(OR(W776=1,W776=0),"0",(Q776-N776))</f>
        <v>0</v>
      </c>
      <c r="AA776" s="53" t="s">
        <v>2318</v>
      </c>
      <c r="AB776" s="16" t="s">
        <v>2319</v>
      </c>
      <c r="AC776" s="16">
        <v>579.5</v>
      </c>
      <c r="AD776" s="16">
        <v>796.31</v>
      </c>
      <c r="AE776" s="16">
        <f>ROUND(AC776*100,0)</f>
        <v>57950</v>
      </c>
      <c r="AF776" s="16">
        <f>ROUND(AD776*100,0)</f>
        <v>79631</v>
      </c>
      <c r="AG776" s="19" t="str">
        <f>IF(AC776=AD776,"TAM",(CONCATENATE(AE776,"/",AF776)))</f>
        <v>57950/79631</v>
      </c>
      <c r="AH776" s="11" t="s">
        <v>50</v>
      </c>
      <c r="AI776" s="21" t="s">
        <v>50</v>
      </c>
      <c r="AJ776" s="71" t="s">
        <v>2425</v>
      </c>
      <c r="AK776" s="54" t="s">
        <v>50</v>
      </c>
      <c r="AL776" s="1" t="s">
        <v>50</v>
      </c>
    </row>
    <row r="777" spans="1:37" ht="12.75" customHeight="1">
      <c r="A777" s="43"/>
      <c r="B777" s="13"/>
      <c r="C777" s="13"/>
      <c r="D777" s="31"/>
      <c r="E777" s="14" t="s">
        <v>50</v>
      </c>
      <c r="F777" s="14"/>
      <c r="G777" s="14"/>
      <c r="H777" s="14"/>
      <c r="I777" s="31"/>
      <c r="J777" s="31"/>
      <c r="K777" s="15"/>
      <c r="L777" s="15"/>
      <c r="M777" s="15"/>
      <c r="N777" s="15"/>
      <c r="O777" s="15"/>
      <c r="P777" s="14"/>
      <c r="Q777" s="14"/>
      <c r="R777" s="14"/>
      <c r="S777" s="14"/>
      <c r="T777" s="14"/>
      <c r="U777" s="14"/>
      <c r="V777" s="14"/>
      <c r="W777" s="14"/>
      <c r="X777" s="14"/>
      <c r="Y777" s="13"/>
      <c r="Z777" s="44"/>
      <c r="AA777" s="43"/>
      <c r="AB777" s="13"/>
      <c r="AC777" s="13"/>
      <c r="AD777" s="13"/>
      <c r="AE777" s="13"/>
      <c r="AF777" s="13"/>
      <c r="AG777" s="13"/>
      <c r="AH777" s="13"/>
      <c r="AI777" s="13"/>
      <c r="AJ777" s="72"/>
      <c r="AK777" s="44"/>
    </row>
    <row r="778" spans="1:38" ht="12.75" customHeight="1">
      <c r="A778" s="41">
        <v>563</v>
      </c>
      <c r="B778" s="10">
        <v>0</v>
      </c>
      <c r="C778" s="10" t="s">
        <v>2320</v>
      </c>
      <c r="D778" s="16">
        <v>14.16</v>
      </c>
      <c r="E778" s="73" t="s">
        <v>2321</v>
      </c>
      <c r="F778" s="20" t="s">
        <v>50</v>
      </c>
      <c r="G778" s="12">
        <v>1</v>
      </c>
      <c r="H778" s="12">
        <v>1</v>
      </c>
      <c r="I778" s="16">
        <f>ROUND(G778,0)</f>
        <v>1</v>
      </c>
      <c r="J778" s="16">
        <f>ROUND(H778,0)</f>
        <v>1</v>
      </c>
      <c r="K778" s="18" t="str">
        <f>IF(I778=J778,"TAM",(CONCATENATE(G778,"/",H778)))</f>
        <v>TAM</v>
      </c>
      <c r="L778" s="29">
        <f>14.16*1/1</f>
        <v>14.16</v>
      </c>
      <c r="M778" s="30">
        <v>0</v>
      </c>
      <c r="N778" s="16" t="str">
        <f>IF(M778=0,"0",(O778*M778))</f>
        <v>0</v>
      </c>
      <c r="O778" s="16">
        <f>IF(W778=1,L778,((D778*G778/H778)-P778)/(1-V778)-S778-T778)</f>
        <v>14.16</v>
      </c>
      <c r="P778" s="16">
        <v>0</v>
      </c>
      <c r="Q778" s="16">
        <f>IF(U778=0,"0",O778*U778)</f>
        <v>4.7400944330771075</v>
      </c>
      <c r="R778" s="17">
        <f>IF(U778=0,(((D778*G778/H778)-P778-S778-T778)/(1-V778)),(((D778*G778/H778)-P778-S778-T778)/(1-V778))-((D778*G778/H778)-P778-S778-T778)*U778/(1-V778))</f>
        <v>9.419905566922893</v>
      </c>
      <c r="S778" s="12">
        <v>0</v>
      </c>
      <c r="T778" s="12">
        <v>0</v>
      </c>
      <c r="U778" s="12">
        <v>0.334752431714485</v>
      </c>
      <c r="V778" s="12">
        <v>0</v>
      </c>
      <c r="W778" s="28">
        <f>IF(V778&gt;U778,1,V778)</f>
        <v>0</v>
      </c>
      <c r="X778" s="12">
        <v>1</v>
      </c>
      <c r="Y778" s="16">
        <v>0</v>
      </c>
      <c r="Z778" s="42" t="str">
        <f>IF(OR(W778=1,W778=0),"0",(Q778-N778))</f>
        <v>0</v>
      </c>
      <c r="AA778" s="53" t="s">
        <v>2322</v>
      </c>
      <c r="AB778" s="16" t="s">
        <v>2323</v>
      </c>
      <c r="AC778" s="16">
        <v>9.42</v>
      </c>
      <c r="AD778" s="16">
        <v>796.31</v>
      </c>
      <c r="AE778" s="16">
        <f>ROUND(AC778*100,0)</f>
        <v>942</v>
      </c>
      <c r="AF778" s="16">
        <f>ROUND(AD778*100,0)</f>
        <v>79631</v>
      </c>
      <c r="AG778" s="19" t="str">
        <f>IF(AC778=AD778,"TAM",(CONCATENATE(AE778,"/",AF778)))</f>
        <v>942/79631</v>
      </c>
      <c r="AH778" s="11" t="s">
        <v>50</v>
      </c>
      <c r="AI778" s="21" t="s">
        <v>50</v>
      </c>
      <c r="AJ778" s="71" t="s">
        <v>2425</v>
      </c>
      <c r="AK778" s="54" t="s">
        <v>50</v>
      </c>
      <c r="AL778" s="1" t="s">
        <v>50</v>
      </c>
    </row>
    <row r="779" spans="1:37" ht="12.75" customHeight="1">
      <c r="A779" s="43"/>
      <c r="B779" s="13"/>
      <c r="C779" s="13"/>
      <c r="D779" s="31"/>
      <c r="E779" s="74"/>
      <c r="F779" s="14"/>
      <c r="G779" s="14"/>
      <c r="H779" s="14"/>
      <c r="I779" s="31"/>
      <c r="J779" s="31"/>
      <c r="K779" s="15"/>
      <c r="L779" s="15"/>
      <c r="M779" s="15"/>
      <c r="N779" s="15"/>
      <c r="O779" s="15"/>
      <c r="P779" s="14"/>
      <c r="Q779" s="14"/>
      <c r="R779" s="14"/>
      <c r="S779" s="14"/>
      <c r="T779" s="14"/>
      <c r="U779" s="14"/>
      <c r="V779" s="14"/>
      <c r="W779" s="14"/>
      <c r="X779" s="14"/>
      <c r="Y779" s="13"/>
      <c r="Z779" s="44"/>
      <c r="AA779" s="43"/>
      <c r="AB779" s="13"/>
      <c r="AC779" s="13"/>
      <c r="AD779" s="13"/>
      <c r="AE779" s="13"/>
      <c r="AF779" s="13"/>
      <c r="AG779" s="13"/>
      <c r="AH779" s="13"/>
      <c r="AI779" s="13"/>
      <c r="AJ779" s="72"/>
      <c r="AK779" s="44"/>
    </row>
    <row r="780" spans="1:38" ht="12.75" customHeight="1">
      <c r="A780" s="41">
        <v>435</v>
      </c>
      <c r="B780" s="10">
        <v>1130</v>
      </c>
      <c r="C780" s="10" t="s">
        <v>2324</v>
      </c>
      <c r="D780" s="16">
        <v>119.88</v>
      </c>
      <c r="E780" s="20" t="s">
        <v>2325</v>
      </c>
      <c r="F780" s="20" t="s">
        <v>2326</v>
      </c>
      <c r="G780" s="12">
        <v>1</v>
      </c>
      <c r="H780" s="12">
        <v>1</v>
      </c>
      <c r="I780" s="16">
        <f>ROUND(G780,0)</f>
        <v>1</v>
      </c>
      <c r="J780" s="16">
        <f>ROUND(H780,0)</f>
        <v>1</v>
      </c>
      <c r="K780" s="18" t="str">
        <f>IF(I780=J780,"TAM",(CONCATENATE(G780,"/",H780)))</f>
        <v>TAM</v>
      </c>
      <c r="L780" s="29">
        <f>119.88*1/1</f>
        <v>119.88</v>
      </c>
      <c r="M780" s="30">
        <v>0</v>
      </c>
      <c r="N780" s="16" t="str">
        <f>IF(M780=0,"0",(O780*M780))</f>
        <v>0</v>
      </c>
      <c r="O780" s="16">
        <f>IF(W780=1,L780,((D780*G780/H780)-P780)/(1-V780)-S780-T780)</f>
        <v>119.88</v>
      </c>
      <c r="P780" s="16">
        <v>0</v>
      </c>
      <c r="Q780" s="16">
        <f>IF(U780=0,"0",O780*U780)</f>
        <v>40.13012151393246</v>
      </c>
      <c r="R780" s="17">
        <f>IF(U780=0,(((D780*G780/H780)-P780-S780-T780)/(1-V780)),(((D780*G780/H780)-P780-S780-T780)/(1-V780))-((D780*G780/H780)-P780-S780-T780)*U780/(1-V780))</f>
        <v>79.74987848606753</v>
      </c>
      <c r="S780" s="12">
        <v>0</v>
      </c>
      <c r="T780" s="12">
        <v>0</v>
      </c>
      <c r="U780" s="12">
        <v>0.334752431714485</v>
      </c>
      <c r="V780" s="12">
        <v>0</v>
      </c>
      <c r="W780" s="28">
        <f>IF(V780&gt;U780,1,V780)</f>
        <v>0</v>
      </c>
      <c r="X780" s="12">
        <v>1</v>
      </c>
      <c r="Y780" s="16">
        <v>0</v>
      </c>
      <c r="Z780" s="42" t="str">
        <f>IF(OR(W780=1,W780=0),"0",(Q780-N780))</f>
        <v>0</v>
      </c>
      <c r="AA780" s="53" t="s">
        <v>2327</v>
      </c>
      <c r="AB780" s="16" t="s">
        <v>2328</v>
      </c>
      <c r="AC780" s="16">
        <v>79.75</v>
      </c>
      <c r="AD780" s="16">
        <v>796.31</v>
      </c>
      <c r="AE780" s="16">
        <f>ROUND(AC780*100,0)</f>
        <v>7975</v>
      </c>
      <c r="AF780" s="16">
        <f>ROUND(AD780*100,0)</f>
        <v>79631</v>
      </c>
      <c r="AG780" s="19" t="str">
        <f>IF(AC780=AD780,"TAM",(CONCATENATE(AE780,"/",AF780)))</f>
        <v>7975/79631</v>
      </c>
      <c r="AH780" s="11" t="s">
        <v>50</v>
      </c>
      <c r="AI780" s="21" t="s">
        <v>50</v>
      </c>
      <c r="AJ780" s="71" t="s">
        <v>2425</v>
      </c>
      <c r="AK780" s="54" t="s">
        <v>50</v>
      </c>
      <c r="AL780" s="1" t="s">
        <v>50</v>
      </c>
    </row>
    <row r="781" spans="1:37" ht="12.75" customHeight="1">
      <c r="A781" s="43"/>
      <c r="B781" s="13"/>
      <c r="C781" s="13"/>
      <c r="D781" s="31"/>
      <c r="E781" s="14" t="s">
        <v>50</v>
      </c>
      <c r="F781" s="14"/>
      <c r="G781" s="14"/>
      <c r="H781" s="14"/>
      <c r="I781" s="31"/>
      <c r="J781" s="31"/>
      <c r="K781" s="15"/>
      <c r="L781" s="15"/>
      <c r="M781" s="15"/>
      <c r="N781" s="15"/>
      <c r="O781" s="15"/>
      <c r="P781" s="14"/>
      <c r="Q781" s="14"/>
      <c r="R781" s="14"/>
      <c r="S781" s="14"/>
      <c r="T781" s="14"/>
      <c r="U781" s="14"/>
      <c r="V781" s="14"/>
      <c r="W781" s="14"/>
      <c r="X781" s="14"/>
      <c r="Y781" s="13"/>
      <c r="Z781" s="44"/>
      <c r="AA781" s="43"/>
      <c r="AB781" s="13"/>
      <c r="AC781" s="13"/>
      <c r="AD781" s="13"/>
      <c r="AE781" s="13"/>
      <c r="AF781" s="13"/>
      <c r="AG781" s="13"/>
      <c r="AH781" s="13"/>
      <c r="AI781" s="13"/>
      <c r="AJ781" s="72"/>
      <c r="AK781" s="44"/>
    </row>
    <row r="782" spans="1:38" ht="12.75" customHeight="1">
      <c r="A782" s="41">
        <v>455</v>
      </c>
      <c r="B782" s="10">
        <v>1138</v>
      </c>
      <c r="C782" s="10" t="s">
        <v>2329</v>
      </c>
      <c r="D782" s="16">
        <v>3647.83</v>
      </c>
      <c r="E782" s="20" t="s">
        <v>2330</v>
      </c>
      <c r="F782" s="20" t="s">
        <v>2331</v>
      </c>
      <c r="G782" s="12">
        <v>1</v>
      </c>
      <c r="H782" s="12">
        <v>3</v>
      </c>
      <c r="I782" s="16">
        <f>ROUND(G782,0)</f>
        <v>1</v>
      </c>
      <c r="J782" s="16">
        <f>ROUND(H782,0)</f>
        <v>3</v>
      </c>
      <c r="K782" s="18" t="str">
        <f>IF(I782=J782,"TAM",(CONCATENATE(G782,"/",H782)))</f>
        <v>1/3</v>
      </c>
      <c r="L782" s="29">
        <f>3647.83*1/3</f>
        <v>1215.9433333333332</v>
      </c>
      <c r="M782" s="30">
        <v>0</v>
      </c>
      <c r="N782" s="16" t="str">
        <f>IF(M782=0,"0",(O782*M782))</f>
        <v>0</v>
      </c>
      <c r="O782" s="16">
        <f>IF(W782=1,L782,((D782*G782/H782)-P782)/(1-V782)-S782-T782)</f>
        <v>918.1733333333334</v>
      </c>
      <c r="P782" s="16">
        <v>297.77</v>
      </c>
      <c r="Q782" s="16">
        <f>IF(U782=0,"0",O782*U782)</f>
        <v>307.36075606872777</v>
      </c>
      <c r="R782" s="17">
        <f>IF(U782=0,(((D782*G782/H782)-P782-S782-T782)/(1-V782)),(((D782*G782/H782)-P782-S782-T782)/(1-V782))-((D782*G782/H782)-P782-S782-T782)*U782/(1-V782))</f>
        <v>610.8125772646056</v>
      </c>
      <c r="S782" s="12">
        <v>0</v>
      </c>
      <c r="T782" s="12">
        <v>0</v>
      </c>
      <c r="U782" s="12">
        <v>0.334752431714485</v>
      </c>
      <c r="V782" s="12">
        <v>0</v>
      </c>
      <c r="W782" s="28">
        <f>IF(V782&gt;U782,1,V782)</f>
        <v>0</v>
      </c>
      <c r="X782" s="12">
        <v>1</v>
      </c>
      <c r="Y782" s="16">
        <v>0</v>
      </c>
      <c r="Z782" s="42" t="str">
        <f>IF(OR(W782=1,W782=0),"0",(Q782-N782))</f>
        <v>0</v>
      </c>
      <c r="AA782" s="53" t="s">
        <v>2332</v>
      </c>
      <c r="AB782" s="16" t="s">
        <v>2333</v>
      </c>
      <c r="AC782" s="16">
        <v>42.55</v>
      </c>
      <c r="AD782" s="16">
        <v>796.31</v>
      </c>
      <c r="AE782" s="16">
        <f>ROUND(AC782*100,0)</f>
        <v>4255</v>
      </c>
      <c r="AF782" s="16">
        <f>ROUND(AD782*100,0)</f>
        <v>79631</v>
      </c>
      <c r="AG782" s="19" t="str">
        <f>IF(AC782=AD782,"TAM",(CONCATENATE(AE782,"/",AF782)))</f>
        <v>4255/79631</v>
      </c>
      <c r="AH782" s="11" t="s">
        <v>50</v>
      </c>
      <c r="AI782" s="21" t="s">
        <v>50</v>
      </c>
      <c r="AJ782" s="71" t="s">
        <v>2425</v>
      </c>
      <c r="AK782" s="54" t="s">
        <v>50</v>
      </c>
      <c r="AL782" s="1" t="s">
        <v>50</v>
      </c>
    </row>
    <row r="783" spans="1:37" ht="12.75" customHeight="1">
      <c r="A783" s="43"/>
      <c r="B783" s="13"/>
      <c r="C783" s="13"/>
      <c r="D783" s="31"/>
      <c r="E783" s="14" t="s">
        <v>50</v>
      </c>
      <c r="F783" s="14"/>
      <c r="G783" s="14"/>
      <c r="H783" s="14"/>
      <c r="I783" s="31"/>
      <c r="J783" s="31"/>
      <c r="K783" s="15"/>
      <c r="L783" s="15"/>
      <c r="M783" s="15"/>
      <c r="N783" s="15"/>
      <c r="O783" s="15"/>
      <c r="P783" s="14"/>
      <c r="Q783" s="14"/>
      <c r="R783" s="14"/>
      <c r="S783" s="14"/>
      <c r="T783" s="14"/>
      <c r="U783" s="14"/>
      <c r="V783" s="14"/>
      <c r="W783" s="14"/>
      <c r="X783" s="14"/>
      <c r="Y783" s="13"/>
      <c r="Z783" s="44"/>
      <c r="AA783" s="43"/>
      <c r="AB783" s="13"/>
      <c r="AC783" s="13"/>
      <c r="AD783" s="13"/>
      <c r="AE783" s="13"/>
      <c r="AF783" s="13"/>
      <c r="AG783" s="13"/>
      <c r="AH783" s="13"/>
      <c r="AI783" s="13"/>
      <c r="AJ783" s="72"/>
      <c r="AK783" s="44"/>
    </row>
    <row r="784" spans="1:38" ht="12.75" customHeight="1">
      <c r="A784" s="41">
        <v>456</v>
      </c>
      <c r="B784" s="10">
        <v>1138</v>
      </c>
      <c r="C784" s="10" t="s">
        <v>2334</v>
      </c>
      <c r="D784" s="16">
        <v>3647.83</v>
      </c>
      <c r="E784" s="20" t="s">
        <v>2335</v>
      </c>
      <c r="F784" s="20" t="s">
        <v>2336</v>
      </c>
      <c r="G784" s="12">
        <v>1</v>
      </c>
      <c r="H784" s="12">
        <v>3</v>
      </c>
      <c r="I784" s="16">
        <f>ROUND(G784,0)</f>
        <v>1</v>
      </c>
      <c r="J784" s="16">
        <f>ROUND(H784,0)</f>
        <v>3</v>
      </c>
      <c r="K784" s="18" t="str">
        <f>IF(I784=J784,"TAM",(CONCATENATE(G784,"/",H784)))</f>
        <v>1/3</v>
      </c>
      <c r="L784" s="29">
        <f>3647.83*1/3</f>
        <v>1215.9433333333332</v>
      </c>
      <c r="M784" s="30">
        <v>0</v>
      </c>
      <c r="N784" s="16" t="str">
        <f>IF(M784=0,"0",(O784*M784))</f>
        <v>0</v>
      </c>
      <c r="O784" s="16">
        <f>IF(W784=1,L784,((D784*G784/H784)-P784)/(1-V784)-S784-T784)</f>
        <v>918.1733333333334</v>
      </c>
      <c r="P784" s="16">
        <v>297.77</v>
      </c>
      <c r="Q784" s="16">
        <f>IF(U784=0,"0",O784*U784)</f>
        <v>307.36075606872777</v>
      </c>
      <c r="R784" s="17">
        <f>IF(U784=0,(((D784*G784/H784)-P784-S784-T784)/(1-V784)),(((D784*G784/H784)-P784-S784-T784)/(1-V784))-((D784*G784/H784)-P784-S784-T784)*U784/(1-V784))</f>
        <v>610.8125772646056</v>
      </c>
      <c r="S784" s="12">
        <v>0</v>
      </c>
      <c r="T784" s="12">
        <v>0</v>
      </c>
      <c r="U784" s="12">
        <v>0.334752431714485</v>
      </c>
      <c r="V784" s="12">
        <v>0</v>
      </c>
      <c r="W784" s="28">
        <f>IF(V784&gt;U784,1,V784)</f>
        <v>0</v>
      </c>
      <c r="X784" s="12">
        <v>1</v>
      </c>
      <c r="Y784" s="16">
        <v>0</v>
      </c>
      <c r="Z784" s="42" t="str">
        <f>IF(OR(W784=1,W784=0),"0",(Q784-N784))</f>
        <v>0</v>
      </c>
      <c r="AA784" s="53" t="s">
        <v>2337</v>
      </c>
      <c r="AB784" s="16" t="s">
        <v>2338</v>
      </c>
      <c r="AC784" s="16">
        <v>42.54</v>
      </c>
      <c r="AD784" s="16">
        <v>796.31</v>
      </c>
      <c r="AE784" s="16">
        <f>ROUND(AC784*100,0)</f>
        <v>4254</v>
      </c>
      <c r="AF784" s="16">
        <f>ROUND(AD784*100,0)</f>
        <v>79631</v>
      </c>
      <c r="AG784" s="19" t="str">
        <f>IF(AC784=AD784,"TAM",(CONCATENATE(AE784,"/",AF784)))</f>
        <v>4254/79631</v>
      </c>
      <c r="AH784" s="11" t="s">
        <v>50</v>
      </c>
      <c r="AI784" s="21" t="s">
        <v>50</v>
      </c>
      <c r="AJ784" s="71" t="s">
        <v>2425</v>
      </c>
      <c r="AK784" s="54" t="s">
        <v>50</v>
      </c>
      <c r="AL784" s="1" t="s">
        <v>50</v>
      </c>
    </row>
    <row r="785" spans="1:37" ht="12.75" customHeight="1">
      <c r="A785" s="43"/>
      <c r="B785" s="13"/>
      <c r="C785" s="13"/>
      <c r="D785" s="31"/>
      <c r="E785" s="14" t="s">
        <v>50</v>
      </c>
      <c r="F785" s="14"/>
      <c r="G785" s="14"/>
      <c r="H785" s="14"/>
      <c r="I785" s="31"/>
      <c r="J785" s="31"/>
      <c r="K785" s="15"/>
      <c r="L785" s="15"/>
      <c r="M785" s="15"/>
      <c r="N785" s="15"/>
      <c r="O785" s="15"/>
      <c r="P785" s="14"/>
      <c r="Q785" s="14"/>
      <c r="R785" s="14"/>
      <c r="S785" s="14"/>
      <c r="T785" s="14"/>
      <c r="U785" s="14"/>
      <c r="V785" s="14"/>
      <c r="W785" s="14"/>
      <c r="X785" s="14"/>
      <c r="Y785" s="13"/>
      <c r="Z785" s="44"/>
      <c r="AA785" s="43"/>
      <c r="AB785" s="13"/>
      <c r="AC785" s="13"/>
      <c r="AD785" s="13"/>
      <c r="AE785" s="13"/>
      <c r="AF785" s="13"/>
      <c r="AG785" s="13"/>
      <c r="AH785" s="13"/>
      <c r="AI785" s="13"/>
      <c r="AJ785" s="72"/>
      <c r="AK785" s="44"/>
    </row>
    <row r="786" spans="1:38" ht="12.75" customHeight="1">
      <c r="A786" s="41">
        <v>457</v>
      </c>
      <c r="B786" s="10">
        <v>1138</v>
      </c>
      <c r="C786" s="10" t="s">
        <v>2339</v>
      </c>
      <c r="D786" s="16">
        <v>3647.83</v>
      </c>
      <c r="E786" s="20" t="s">
        <v>2340</v>
      </c>
      <c r="F786" s="20" t="s">
        <v>2341</v>
      </c>
      <c r="G786" s="12">
        <v>1</v>
      </c>
      <c r="H786" s="12">
        <v>3</v>
      </c>
      <c r="I786" s="16">
        <f>ROUND(G786,0)</f>
        <v>1</v>
      </c>
      <c r="J786" s="16">
        <f>ROUND(H786,0)</f>
        <v>3</v>
      </c>
      <c r="K786" s="18" t="str">
        <f>IF(I786=J786,"TAM",(CONCATENATE(G786,"/",H786)))</f>
        <v>1/3</v>
      </c>
      <c r="L786" s="29">
        <f>3647.83*1/3</f>
        <v>1215.9433333333332</v>
      </c>
      <c r="M786" s="30">
        <v>0</v>
      </c>
      <c r="N786" s="16" t="str">
        <f>IF(M786=0,"0",(O786*M786))</f>
        <v>0</v>
      </c>
      <c r="O786" s="16">
        <f>IF(W786=1,L786,((D786*G786/H786)-P786)/(1-V786)-S786-T786)</f>
        <v>918.1733333333334</v>
      </c>
      <c r="P786" s="16">
        <v>297.77</v>
      </c>
      <c r="Q786" s="16">
        <f>IF(U786=0,"0",O786*U786)</f>
        <v>307.36075606872777</v>
      </c>
      <c r="R786" s="17">
        <f>IF(U786=0,(((D786*G786/H786)-P786-S786-T786)/(1-V786)),(((D786*G786/H786)-P786-S786-T786)/(1-V786))-((D786*G786/H786)-P786-S786-T786)*U786/(1-V786))</f>
        <v>610.8125772646056</v>
      </c>
      <c r="S786" s="12">
        <v>0</v>
      </c>
      <c r="T786" s="12">
        <v>0</v>
      </c>
      <c r="U786" s="12">
        <v>0.334752431714485</v>
      </c>
      <c r="V786" s="12">
        <v>0</v>
      </c>
      <c r="W786" s="28">
        <f>IF(V786&gt;U786,1,V786)</f>
        <v>0</v>
      </c>
      <c r="X786" s="12">
        <v>1</v>
      </c>
      <c r="Y786" s="16">
        <v>0</v>
      </c>
      <c r="Z786" s="42" t="str">
        <f>IF(OR(W786=1,W786=0),"0",(Q786-N786))</f>
        <v>0</v>
      </c>
      <c r="AA786" s="53" t="s">
        <v>2342</v>
      </c>
      <c r="AB786" s="16" t="s">
        <v>2343</v>
      </c>
      <c r="AC786" s="16">
        <v>42.55</v>
      </c>
      <c r="AD786" s="16">
        <v>796.31</v>
      </c>
      <c r="AE786" s="16">
        <f>ROUND(AC786*100,0)</f>
        <v>4255</v>
      </c>
      <c r="AF786" s="16">
        <f>ROUND(AD786*100,0)</f>
        <v>79631</v>
      </c>
      <c r="AG786" s="19" t="str">
        <f>IF(AC786=AD786,"TAM",(CONCATENATE(AE786,"/",AF786)))</f>
        <v>4255/79631</v>
      </c>
      <c r="AH786" s="11" t="s">
        <v>50</v>
      </c>
      <c r="AI786" s="21" t="s">
        <v>50</v>
      </c>
      <c r="AJ786" s="71" t="s">
        <v>2425</v>
      </c>
      <c r="AK786" s="54" t="s">
        <v>50</v>
      </c>
      <c r="AL786" s="1" t="s">
        <v>50</v>
      </c>
    </row>
    <row r="787" spans="1:37" ht="12.75" customHeight="1">
      <c r="A787" s="43"/>
      <c r="B787" s="13"/>
      <c r="C787" s="13"/>
      <c r="D787" s="31"/>
      <c r="E787" s="14" t="s">
        <v>50</v>
      </c>
      <c r="F787" s="14"/>
      <c r="G787" s="14"/>
      <c r="H787" s="14"/>
      <c r="I787" s="31"/>
      <c r="J787" s="31"/>
      <c r="K787" s="15"/>
      <c r="L787" s="15"/>
      <c r="M787" s="15"/>
      <c r="N787" s="15"/>
      <c r="O787" s="15"/>
      <c r="P787" s="14"/>
      <c r="Q787" s="14"/>
      <c r="R787" s="14"/>
      <c r="S787" s="14"/>
      <c r="T787" s="14"/>
      <c r="U787" s="14"/>
      <c r="V787" s="14"/>
      <c r="W787" s="14"/>
      <c r="X787" s="14"/>
      <c r="Y787" s="13"/>
      <c r="Z787" s="44"/>
      <c r="AA787" s="43"/>
      <c r="AB787" s="13"/>
      <c r="AC787" s="13"/>
      <c r="AD787" s="13"/>
      <c r="AE787" s="13"/>
      <c r="AF787" s="13"/>
      <c r="AG787" s="13"/>
      <c r="AH787" s="13"/>
      <c r="AI787" s="13"/>
      <c r="AJ787" s="72"/>
      <c r="AK787" s="44"/>
    </row>
    <row r="788" spans="1:38" ht="12.75" customHeight="1">
      <c r="A788" s="41">
        <v>437</v>
      </c>
      <c r="B788" s="10">
        <v>1131</v>
      </c>
      <c r="C788" s="10" t="s">
        <v>2344</v>
      </c>
      <c r="D788" s="16">
        <v>2145.74</v>
      </c>
      <c r="E788" s="20" t="s">
        <v>2345</v>
      </c>
      <c r="F788" s="20" t="s">
        <v>2346</v>
      </c>
      <c r="G788" s="12">
        <v>1</v>
      </c>
      <c r="H788" s="12">
        <v>2</v>
      </c>
      <c r="I788" s="16">
        <f>ROUND(G788,0)</f>
        <v>1</v>
      </c>
      <c r="J788" s="16">
        <f>ROUND(H788,0)</f>
        <v>2</v>
      </c>
      <c r="K788" s="18" t="str">
        <f>IF(I788=J788,"TAM",(CONCATENATE(G788,"/",H788)))</f>
        <v>1/2</v>
      </c>
      <c r="L788" s="29">
        <f>2145.74*1/2</f>
        <v>1072.87</v>
      </c>
      <c r="M788" s="30">
        <v>0</v>
      </c>
      <c r="N788" s="16" t="str">
        <f>IF(M788=0,"0",(O788*M788))</f>
        <v>0</v>
      </c>
      <c r="O788" s="16">
        <f>IF(W788=1,L788,((D788*G788/H788)-P788)/(1-V788)-S788-T788)</f>
        <v>1072.87</v>
      </c>
      <c r="P788" s="16">
        <v>0</v>
      </c>
      <c r="Q788" s="16">
        <f>IF(U788=0,"0",O788*U788)</f>
        <v>359.14584141351946</v>
      </c>
      <c r="R788" s="17">
        <f>IF(U788=0,(((D788*G788/H788)-P788-S788-T788)/(1-V788)),(((D788*G788/H788)-P788-S788-T788)/(1-V788))-((D788*G788/H788)-P788-S788-T788)*U788/(1-V788))</f>
        <v>713.7241585864804</v>
      </c>
      <c r="S788" s="12">
        <v>0</v>
      </c>
      <c r="T788" s="12">
        <v>0</v>
      </c>
      <c r="U788" s="12">
        <v>0.334752431714485</v>
      </c>
      <c r="V788" s="12">
        <v>0</v>
      </c>
      <c r="W788" s="28">
        <f>IF(V788&gt;U788,1,V788)</f>
        <v>0</v>
      </c>
      <c r="X788" s="12">
        <v>1</v>
      </c>
      <c r="Y788" s="16">
        <v>0</v>
      </c>
      <c r="Z788" s="42" t="str">
        <f>IF(OR(W788=1,W788=0),"0",(Q788-N788))</f>
        <v>0</v>
      </c>
      <c r="AA788" s="53" t="s">
        <v>2347</v>
      </c>
      <c r="AB788" s="16" t="s">
        <v>2349</v>
      </c>
      <c r="AC788" s="16">
        <v>602.12</v>
      </c>
      <c r="AD788" s="16">
        <v>1204.26</v>
      </c>
      <c r="AE788" s="16">
        <f>ROUND(AC788*100,0)</f>
        <v>60212</v>
      </c>
      <c r="AF788" s="16">
        <f>ROUND(AD788*100,0)</f>
        <v>120426</v>
      </c>
      <c r="AG788" s="19" t="str">
        <f>IF(AC788=AD788,"TAM",(CONCATENATE(AE788,"/",AF788)))</f>
        <v>60212/120426</v>
      </c>
      <c r="AH788" s="11" t="s">
        <v>50</v>
      </c>
      <c r="AI788" s="21" t="s">
        <v>50</v>
      </c>
      <c r="AJ788" s="21" t="s">
        <v>2348</v>
      </c>
      <c r="AK788" s="54" t="s">
        <v>50</v>
      </c>
      <c r="AL788" s="1" t="s">
        <v>50</v>
      </c>
    </row>
    <row r="789" spans="1:37" ht="12.75" customHeight="1">
      <c r="A789" s="43"/>
      <c r="B789" s="13"/>
      <c r="C789" s="13"/>
      <c r="D789" s="31"/>
      <c r="E789" s="14" t="s">
        <v>50</v>
      </c>
      <c r="F789" s="14"/>
      <c r="G789" s="14"/>
      <c r="H789" s="14"/>
      <c r="I789" s="31"/>
      <c r="J789" s="31"/>
      <c r="K789" s="15"/>
      <c r="L789" s="15"/>
      <c r="M789" s="15"/>
      <c r="N789" s="15"/>
      <c r="O789" s="15"/>
      <c r="P789" s="14"/>
      <c r="Q789" s="14"/>
      <c r="R789" s="14"/>
      <c r="S789" s="14"/>
      <c r="T789" s="14"/>
      <c r="U789" s="14"/>
      <c r="V789" s="14"/>
      <c r="W789" s="14"/>
      <c r="X789" s="14"/>
      <c r="Y789" s="13"/>
      <c r="Z789" s="44"/>
      <c r="AA789" s="43"/>
      <c r="AB789" s="13"/>
      <c r="AC789" s="13"/>
      <c r="AD789" s="13"/>
      <c r="AE789" s="13"/>
      <c r="AF789" s="13"/>
      <c r="AG789" s="13"/>
      <c r="AH789" s="13"/>
      <c r="AI789" s="13"/>
      <c r="AJ789" s="13"/>
      <c r="AK789" s="44"/>
    </row>
    <row r="790" spans="1:38" ht="12.75" customHeight="1">
      <c r="A790" s="41">
        <v>436</v>
      </c>
      <c r="B790" s="10">
        <v>1131</v>
      </c>
      <c r="C790" s="10" t="s">
        <v>2350</v>
      </c>
      <c r="D790" s="16">
        <v>2145.74</v>
      </c>
      <c r="E790" s="20" t="s">
        <v>2351</v>
      </c>
      <c r="F790" s="20" t="s">
        <v>2352</v>
      </c>
      <c r="G790" s="12">
        <v>1</v>
      </c>
      <c r="H790" s="12">
        <v>2</v>
      </c>
      <c r="I790" s="16">
        <f>ROUND(G790,0)</f>
        <v>1</v>
      </c>
      <c r="J790" s="16">
        <f>ROUND(H790,0)</f>
        <v>2</v>
      </c>
      <c r="K790" s="18" t="str">
        <f>IF(I790=J790,"TAM",(CONCATENATE(G790,"/",H790)))</f>
        <v>1/2</v>
      </c>
      <c r="L790" s="29">
        <f>2145.74*1/2</f>
        <v>1072.87</v>
      </c>
      <c r="M790" s="30">
        <v>0</v>
      </c>
      <c r="N790" s="16" t="str">
        <f>IF(M790=0,"0",(O790*M790))</f>
        <v>0</v>
      </c>
      <c r="O790" s="16">
        <f>IF(W790=1,L790,((D790*G790/H790)-P790)/(1-V790)-S790-T790)</f>
        <v>1072.87</v>
      </c>
      <c r="P790" s="16">
        <v>0</v>
      </c>
      <c r="Q790" s="16">
        <f>IF(U790=0,"0",O790*U790)</f>
        <v>359.14584141351946</v>
      </c>
      <c r="R790" s="17">
        <f>IF(U790=0,(((D790*G790/H790)-P790-S790-T790)/(1-V790)),(((D790*G790/H790)-P790-S790-T790)/(1-V790))-((D790*G790/H790)-P790-S790-T790)*U790/(1-V790))</f>
        <v>713.7241585864804</v>
      </c>
      <c r="S790" s="12">
        <v>0</v>
      </c>
      <c r="T790" s="12">
        <v>0</v>
      </c>
      <c r="U790" s="12">
        <v>0.334752431714485</v>
      </c>
      <c r="V790" s="12">
        <v>0</v>
      </c>
      <c r="W790" s="28">
        <f>IF(V790&gt;U790,1,V790)</f>
        <v>0</v>
      </c>
      <c r="X790" s="12">
        <v>1</v>
      </c>
      <c r="Y790" s="16">
        <v>0</v>
      </c>
      <c r="Z790" s="42" t="str">
        <f>IF(OR(W790=1,W790=0),"0",(Q790-N790))</f>
        <v>0</v>
      </c>
      <c r="AA790" s="53" t="s">
        <v>2353</v>
      </c>
      <c r="AB790" s="16" t="s">
        <v>2355</v>
      </c>
      <c r="AC790" s="16">
        <v>602.14</v>
      </c>
      <c r="AD790" s="16">
        <v>1204.26</v>
      </c>
      <c r="AE790" s="16">
        <f>ROUND(AC790*100,0)</f>
        <v>60214</v>
      </c>
      <c r="AF790" s="16">
        <f>ROUND(AD790*100,0)</f>
        <v>120426</v>
      </c>
      <c r="AG790" s="19" t="str">
        <f>IF(AC790=AD790,"TAM",(CONCATENATE(AE790,"/",AF790)))</f>
        <v>60214/120426</v>
      </c>
      <c r="AH790" s="11" t="s">
        <v>50</v>
      </c>
      <c r="AI790" s="21" t="s">
        <v>50</v>
      </c>
      <c r="AJ790" s="21" t="s">
        <v>2354</v>
      </c>
      <c r="AK790" s="54" t="s">
        <v>50</v>
      </c>
      <c r="AL790" s="1" t="s">
        <v>50</v>
      </c>
    </row>
    <row r="791" spans="1:37" ht="12.75" customHeight="1">
      <c r="A791" s="43"/>
      <c r="B791" s="13"/>
      <c r="C791" s="13"/>
      <c r="D791" s="31"/>
      <c r="E791" s="14" t="s">
        <v>50</v>
      </c>
      <c r="F791" s="14"/>
      <c r="G791" s="14"/>
      <c r="H791" s="14"/>
      <c r="I791" s="31"/>
      <c r="J791" s="31"/>
      <c r="K791" s="15"/>
      <c r="L791" s="15"/>
      <c r="M791" s="15"/>
      <c r="N791" s="15"/>
      <c r="O791" s="15"/>
      <c r="P791" s="14"/>
      <c r="Q791" s="14"/>
      <c r="R791" s="14"/>
      <c r="S791" s="14"/>
      <c r="T791" s="14"/>
      <c r="U791" s="14"/>
      <c r="V791" s="14"/>
      <c r="W791" s="14"/>
      <c r="X791" s="14"/>
      <c r="Y791" s="13"/>
      <c r="Z791" s="44"/>
      <c r="AA791" s="43"/>
      <c r="AB791" s="13"/>
      <c r="AC791" s="13"/>
      <c r="AD791" s="13"/>
      <c r="AE791" s="13"/>
      <c r="AF791" s="13"/>
      <c r="AG791" s="13"/>
      <c r="AH791" s="13"/>
      <c r="AI791" s="13"/>
      <c r="AJ791" s="13"/>
      <c r="AK791" s="44"/>
    </row>
    <row r="792" spans="1:38" ht="12.75" customHeight="1">
      <c r="A792" s="41">
        <v>451</v>
      </c>
      <c r="B792" s="10">
        <v>1136</v>
      </c>
      <c r="C792" s="10" t="s">
        <v>2356</v>
      </c>
      <c r="D792" s="16">
        <v>1361.86</v>
      </c>
      <c r="E792" s="20" t="s">
        <v>2357</v>
      </c>
      <c r="F792" s="20" t="s">
        <v>2358</v>
      </c>
      <c r="G792" s="12">
        <v>1</v>
      </c>
      <c r="H792" s="12">
        <v>2</v>
      </c>
      <c r="I792" s="16">
        <f>ROUND(G792,0)</f>
        <v>1</v>
      </c>
      <c r="J792" s="16">
        <f>ROUND(H792,0)</f>
        <v>2</v>
      </c>
      <c r="K792" s="18" t="str">
        <f>IF(I792=J792,"TAM",(CONCATENATE(G792,"/",H792)))</f>
        <v>1/2</v>
      </c>
      <c r="L792" s="29">
        <f>1361.86*1/2</f>
        <v>680.93</v>
      </c>
      <c r="M792" s="30">
        <v>0</v>
      </c>
      <c r="N792" s="16" t="str">
        <f>IF(M792=0,"0",(O792*M792))</f>
        <v>0</v>
      </c>
      <c r="O792" s="16">
        <f>IF(W792=1,L792,((D792*G792/H792)-P792)/(1-V792)-S792-T792)</f>
        <v>680.93</v>
      </c>
      <c r="P792" s="16">
        <v>0</v>
      </c>
      <c r="Q792" s="16">
        <f>IF(U792=0,"0",O792*U792)</f>
        <v>227.94297332734425</v>
      </c>
      <c r="R792" s="17">
        <f>IF(U792=0,(((D792*G792/H792)-P792-S792-T792)/(1-V792)),(((D792*G792/H792)-P792-S792-T792)/(1-V792))-((D792*G792/H792)-P792-S792-T792)*U792/(1-V792))</f>
        <v>452.9870266726557</v>
      </c>
      <c r="S792" s="12">
        <v>0</v>
      </c>
      <c r="T792" s="12">
        <v>0</v>
      </c>
      <c r="U792" s="12">
        <v>0.334752431714485</v>
      </c>
      <c r="V792" s="12">
        <v>0</v>
      </c>
      <c r="W792" s="28">
        <f>IF(V792&gt;U792,1,V792)</f>
        <v>0</v>
      </c>
      <c r="X792" s="12">
        <v>1</v>
      </c>
      <c r="Y792" s="16">
        <v>0</v>
      </c>
      <c r="Z792" s="42" t="str">
        <f>IF(OR(W792=1,W792=0),"0",(Q792-N792))</f>
        <v>0</v>
      </c>
      <c r="AA792" s="53" t="s">
        <v>2359</v>
      </c>
      <c r="AB792" s="16" t="s">
        <v>2361</v>
      </c>
      <c r="AC792" s="16">
        <v>299.74</v>
      </c>
      <c r="AD792" s="16">
        <v>599.48</v>
      </c>
      <c r="AE792" s="16">
        <f>ROUND(AC792*100,0)</f>
        <v>29974</v>
      </c>
      <c r="AF792" s="16">
        <f>ROUND(AD792*100,0)</f>
        <v>59948</v>
      </c>
      <c r="AG792" s="19" t="str">
        <f>IF(AC792=AD792,"TAM",(CONCATENATE(AE792,"/",AF792)))</f>
        <v>29974/59948</v>
      </c>
      <c r="AH792" s="11" t="s">
        <v>50</v>
      </c>
      <c r="AI792" s="21" t="s">
        <v>50</v>
      </c>
      <c r="AJ792" s="21" t="s">
        <v>2360</v>
      </c>
      <c r="AK792" s="54" t="s">
        <v>50</v>
      </c>
      <c r="AL792" s="1" t="s">
        <v>50</v>
      </c>
    </row>
    <row r="793" spans="1:37" ht="12.75" customHeight="1">
      <c r="A793" s="43"/>
      <c r="B793" s="13"/>
      <c r="C793" s="13"/>
      <c r="D793" s="31"/>
      <c r="E793" s="14" t="s">
        <v>50</v>
      </c>
      <c r="F793" s="14"/>
      <c r="G793" s="14"/>
      <c r="H793" s="14"/>
      <c r="I793" s="31"/>
      <c r="J793" s="31"/>
      <c r="K793" s="15"/>
      <c r="L793" s="15"/>
      <c r="M793" s="15"/>
      <c r="N793" s="15"/>
      <c r="O793" s="15"/>
      <c r="P793" s="14"/>
      <c r="Q793" s="14"/>
      <c r="R793" s="14"/>
      <c r="S793" s="14"/>
      <c r="T793" s="14"/>
      <c r="U793" s="14"/>
      <c r="V793" s="14"/>
      <c r="W793" s="14"/>
      <c r="X793" s="14"/>
      <c r="Y793" s="13"/>
      <c r="Z793" s="44"/>
      <c r="AA793" s="43"/>
      <c r="AB793" s="13"/>
      <c r="AC793" s="13"/>
      <c r="AD793" s="13"/>
      <c r="AE793" s="13"/>
      <c r="AF793" s="13"/>
      <c r="AG793" s="13"/>
      <c r="AH793" s="13"/>
      <c r="AI793" s="13"/>
      <c r="AJ793" s="13"/>
      <c r="AK793" s="44"/>
    </row>
    <row r="794" spans="1:38" ht="12.75" customHeight="1">
      <c r="A794" s="41">
        <v>450</v>
      </c>
      <c r="B794" s="10">
        <v>1136</v>
      </c>
      <c r="C794" s="10" t="s">
        <v>2362</v>
      </c>
      <c r="D794" s="16">
        <v>1361.86</v>
      </c>
      <c r="E794" s="20" t="s">
        <v>2363</v>
      </c>
      <c r="F794" s="20" t="s">
        <v>2364</v>
      </c>
      <c r="G794" s="12">
        <v>1</v>
      </c>
      <c r="H794" s="12">
        <v>2</v>
      </c>
      <c r="I794" s="16">
        <f>ROUND(G794,0)</f>
        <v>1</v>
      </c>
      <c r="J794" s="16">
        <f>ROUND(H794,0)</f>
        <v>2</v>
      </c>
      <c r="K794" s="18" t="str">
        <f>IF(I794=J794,"TAM",(CONCATENATE(G794,"/",H794)))</f>
        <v>1/2</v>
      </c>
      <c r="L794" s="29">
        <f>1361.86*1/2</f>
        <v>680.93</v>
      </c>
      <c r="M794" s="30">
        <v>0</v>
      </c>
      <c r="N794" s="16" t="str">
        <f>IF(M794=0,"0",(O794*M794))</f>
        <v>0</v>
      </c>
      <c r="O794" s="16">
        <f>IF(W794=1,L794,((D794*G794/H794)-P794)/(1-V794)-S794-T794)</f>
        <v>680.93</v>
      </c>
      <c r="P794" s="16">
        <v>0</v>
      </c>
      <c r="Q794" s="16">
        <f>IF(U794=0,"0",O794*U794)</f>
        <v>227.94297332734425</v>
      </c>
      <c r="R794" s="17">
        <f>IF(U794=0,(((D794*G794/H794)-P794-S794-T794)/(1-V794)),(((D794*G794/H794)-P794-S794-T794)/(1-V794))-((D794*G794/H794)-P794-S794-T794)*U794/(1-V794))</f>
        <v>452.9870266726557</v>
      </c>
      <c r="S794" s="12">
        <v>0</v>
      </c>
      <c r="T794" s="12">
        <v>0</v>
      </c>
      <c r="U794" s="12">
        <v>0.334752431714485</v>
      </c>
      <c r="V794" s="12">
        <v>0</v>
      </c>
      <c r="W794" s="28">
        <f>IF(V794&gt;U794,1,V794)</f>
        <v>0</v>
      </c>
      <c r="X794" s="12">
        <v>1</v>
      </c>
      <c r="Y794" s="16">
        <v>0</v>
      </c>
      <c r="Z794" s="42" t="str">
        <f>IF(OR(W794=1,W794=0),"0",(Q794-N794))</f>
        <v>0</v>
      </c>
      <c r="AA794" s="53" t="s">
        <v>2365</v>
      </c>
      <c r="AB794" s="16" t="s">
        <v>2367</v>
      </c>
      <c r="AC794" s="16">
        <v>299.74</v>
      </c>
      <c r="AD794" s="16">
        <v>599.48</v>
      </c>
      <c r="AE794" s="16">
        <f>ROUND(AC794*100,0)</f>
        <v>29974</v>
      </c>
      <c r="AF794" s="16">
        <f>ROUND(AD794*100,0)</f>
        <v>59948</v>
      </c>
      <c r="AG794" s="19" t="str">
        <f>IF(AC794=AD794,"TAM",(CONCATENATE(AE794,"/",AF794)))</f>
        <v>29974/59948</v>
      </c>
      <c r="AH794" s="11" t="s">
        <v>50</v>
      </c>
      <c r="AI794" s="21" t="s">
        <v>50</v>
      </c>
      <c r="AJ794" s="21" t="s">
        <v>2366</v>
      </c>
      <c r="AK794" s="54" t="s">
        <v>50</v>
      </c>
      <c r="AL794" s="1" t="s">
        <v>50</v>
      </c>
    </row>
    <row r="795" spans="1:37" ht="12.75" customHeight="1">
      <c r="A795" s="43"/>
      <c r="B795" s="13"/>
      <c r="C795" s="13"/>
      <c r="D795" s="31"/>
      <c r="E795" s="14" t="s">
        <v>50</v>
      </c>
      <c r="F795" s="14"/>
      <c r="G795" s="14"/>
      <c r="H795" s="14"/>
      <c r="I795" s="31"/>
      <c r="J795" s="31"/>
      <c r="K795" s="15"/>
      <c r="L795" s="15"/>
      <c r="M795" s="15"/>
      <c r="N795" s="15"/>
      <c r="O795" s="15"/>
      <c r="P795" s="14"/>
      <c r="Q795" s="14"/>
      <c r="R795" s="14"/>
      <c r="S795" s="14"/>
      <c r="T795" s="14"/>
      <c r="U795" s="14"/>
      <c r="V795" s="14"/>
      <c r="W795" s="14"/>
      <c r="X795" s="14"/>
      <c r="Y795" s="13"/>
      <c r="Z795" s="44"/>
      <c r="AA795" s="43"/>
      <c r="AB795" s="13"/>
      <c r="AC795" s="13"/>
      <c r="AD795" s="13"/>
      <c r="AE795" s="13"/>
      <c r="AF795" s="13"/>
      <c r="AG795" s="13"/>
      <c r="AH795" s="13"/>
      <c r="AI795" s="13"/>
      <c r="AJ795" s="13"/>
      <c r="AK795" s="44"/>
    </row>
    <row r="796" spans="1:38" ht="12.75" customHeight="1">
      <c r="A796" s="41">
        <v>449</v>
      </c>
      <c r="B796" s="10">
        <v>1135</v>
      </c>
      <c r="C796" s="10" t="s">
        <v>2368</v>
      </c>
      <c r="D796" s="16">
        <v>452.83</v>
      </c>
      <c r="E796" s="20" t="s">
        <v>2369</v>
      </c>
      <c r="F796" s="20" t="s">
        <v>2370</v>
      </c>
      <c r="G796" s="12">
        <v>1</v>
      </c>
      <c r="H796" s="12">
        <v>1</v>
      </c>
      <c r="I796" s="16">
        <f>ROUND(G796,0)</f>
        <v>1</v>
      </c>
      <c r="J796" s="16">
        <f>ROUND(H796,0)</f>
        <v>1</v>
      </c>
      <c r="K796" s="18" t="str">
        <f>IF(I796=J796,"TAM",(CONCATENATE(G796,"/",H796)))</f>
        <v>TAM</v>
      </c>
      <c r="L796" s="29">
        <f>452.83*1/1</f>
        <v>452.83</v>
      </c>
      <c r="M796" s="30">
        <v>0</v>
      </c>
      <c r="N796" s="16" t="str">
        <f>IF(M796=0,"0",(O796*M796))</f>
        <v>0</v>
      </c>
      <c r="O796" s="16">
        <f>IF(W796=1,L796,((D796*G796/H796)-P796)/(1-V796)-S796-T796)</f>
        <v>452.83</v>
      </c>
      <c r="P796" s="16">
        <v>0</v>
      </c>
      <c r="Q796" s="16">
        <f>IF(U796=0,"0",O796*U796)</f>
        <v>151.58594365327022</v>
      </c>
      <c r="R796" s="17">
        <f>IF(U796=0,(((D796*G796/H796)-P796-S796-T796)/(1-V796)),(((D796*G796/H796)-P796-S796-T796)/(1-V796))-((D796*G796/H796)-P796-S796-T796)*U796/(1-V796))</f>
        <v>301.24405634672974</v>
      </c>
      <c r="S796" s="12">
        <v>0</v>
      </c>
      <c r="T796" s="12">
        <v>0</v>
      </c>
      <c r="U796" s="12">
        <v>0.334752431714485</v>
      </c>
      <c r="V796" s="12">
        <v>0</v>
      </c>
      <c r="W796" s="28">
        <f>IF(V796&gt;U796,1,V796)</f>
        <v>0</v>
      </c>
      <c r="X796" s="12">
        <v>1</v>
      </c>
      <c r="Y796" s="16">
        <v>0</v>
      </c>
      <c r="Z796" s="42" t="str">
        <f>IF(OR(W796=1,W796=0),"0",(Q796-N796))</f>
        <v>0</v>
      </c>
      <c r="AA796" s="53" t="s">
        <v>2371</v>
      </c>
      <c r="AB796" s="16" t="s">
        <v>2373</v>
      </c>
      <c r="AC796" s="16">
        <v>301.24</v>
      </c>
      <c r="AD796" s="16">
        <v>483.25</v>
      </c>
      <c r="AE796" s="16">
        <f>ROUND(AC796*100,0)</f>
        <v>30124</v>
      </c>
      <c r="AF796" s="16">
        <f>ROUND(AD796*100,0)</f>
        <v>48325</v>
      </c>
      <c r="AG796" s="19" t="str">
        <f>IF(AC796=AD796,"TAM",(CONCATENATE(AE796,"/",AF796)))</f>
        <v>30124/48325</v>
      </c>
      <c r="AH796" s="11" t="s">
        <v>50</v>
      </c>
      <c r="AI796" s="21" t="s">
        <v>50</v>
      </c>
      <c r="AJ796" s="21" t="s">
        <v>2372</v>
      </c>
      <c r="AK796" s="54" t="s">
        <v>50</v>
      </c>
      <c r="AL796" s="1" t="s">
        <v>50</v>
      </c>
    </row>
    <row r="797" spans="1:37" ht="12.75" customHeight="1">
      <c r="A797" s="43"/>
      <c r="B797" s="13"/>
      <c r="C797" s="13"/>
      <c r="D797" s="31"/>
      <c r="E797" s="14" t="s">
        <v>50</v>
      </c>
      <c r="F797" s="14"/>
      <c r="G797" s="14"/>
      <c r="H797" s="14"/>
      <c r="I797" s="31"/>
      <c r="J797" s="31"/>
      <c r="K797" s="15"/>
      <c r="L797" s="15"/>
      <c r="M797" s="15"/>
      <c r="N797" s="15"/>
      <c r="O797" s="15"/>
      <c r="P797" s="14"/>
      <c r="Q797" s="14"/>
      <c r="R797" s="14"/>
      <c r="S797" s="14"/>
      <c r="T797" s="14"/>
      <c r="U797" s="14"/>
      <c r="V797" s="14"/>
      <c r="W797" s="14"/>
      <c r="X797" s="14"/>
      <c r="Y797" s="13"/>
      <c r="Z797" s="44"/>
      <c r="AA797" s="43"/>
      <c r="AB797" s="13"/>
      <c r="AC797" s="13"/>
      <c r="AD797" s="13"/>
      <c r="AE797" s="13"/>
      <c r="AF797" s="13"/>
      <c r="AG797" s="13"/>
      <c r="AH797" s="13"/>
      <c r="AI797" s="13"/>
      <c r="AJ797" s="13"/>
      <c r="AK797" s="44"/>
    </row>
    <row r="798" spans="1:38" ht="12.75" customHeight="1">
      <c r="A798" s="41">
        <v>451</v>
      </c>
      <c r="B798" s="10">
        <v>1136</v>
      </c>
      <c r="C798" s="10" t="s">
        <v>2374</v>
      </c>
      <c r="D798" s="16">
        <v>1361.86</v>
      </c>
      <c r="E798" s="20" t="s">
        <v>2375</v>
      </c>
      <c r="F798" s="20" t="s">
        <v>2376</v>
      </c>
      <c r="G798" s="12">
        <v>1</v>
      </c>
      <c r="H798" s="12">
        <v>2</v>
      </c>
      <c r="I798" s="16">
        <f>ROUND(G798,0)</f>
        <v>1</v>
      </c>
      <c r="J798" s="16">
        <f>ROUND(H798,0)</f>
        <v>2</v>
      </c>
      <c r="K798" s="18" t="str">
        <f>IF(I798=J798,"TAM",(CONCATENATE(G798,"/",H798)))</f>
        <v>1/2</v>
      </c>
      <c r="L798" s="29">
        <f>1361.86*1/2</f>
        <v>680.93</v>
      </c>
      <c r="M798" s="30">
        <v>0</v>
      </c>
      <c r="N798" s="16" t="str">
        <f>IF(M798=0,"0",(O798*M798))</f>
        <v>0</v>
      </c>
      <c r="O798" s="16">
        <f>IF(W798=1,L798,((D798*G798/H798)-P798)/(1-V798)-S798-T798)</f>
        <v>680.93</v>
      </c>
      <c r="P798" s="16">
        <v>0</v>
      </c>
      <c r="Q798" s="16">
        <f>IF(U798=0,"0",O798*U798)</f>
        <v>227.94297332734425</v>
      </c>
      <c r="R798" s="17">
        <f>IF(U798=0,(((D798*G798/H798)-P798-S798-T798)/(1-V798)),(((D798*G798/H798)-P798-S798-T798)/(1-V798))-((D798*G798/H798)-P798-S798-T798)*U798/(1-V798))</f>
        <v>452.9870266726557</v>
      </c>
      <c r="S798" s="12">
        <v>0</v>
      </c>
      <c r="T798" s="12">
        <v>0</v>
      </c>
      <c r="U798" s="12">
        <v>0.334752431714485</v>
      </c>
      <c r="V798" s="12">
        <v>0</v>
      </c>
      <c r="W798" s="28">
        <f>IF(V798&gt;U798,1,V798)</f>
        <v>0</v>
      </c>
      <c r="X798" s="12">
        <v>1</v>
      </c>
      <c r="Y798" s="16">
        <v>0</v>
      </c>
      <c r="Z798" s="42" t="str">
        <f>IF(OR(W798=1,W798=0),"0",(Q798-N798))</f>
        <v>0</v>
      </c>
      <c r="AA798" s="53" t="s">
        <v>2377</v>
      </c>
      <c r="AB798" s="16" t="s">
        <v>2379</v>
      </c>
      <c r="AC798" s="16">
        <v>38.12</v>
      </c>
      <c r="AD798" s="16">
        <v>483.25</v>
      </c>
      <c r="AE798" s="16">
        <f>ROUND(AC798*100,0)</f>
        <v>3812</v>
      </c>
      <c r="AF798" s="16">
        <f>ROUND(AD798*100,0)</f>
        <v>48325</v>
      </c>
      <c r="AG798" s="19" t="str">
        <f>IF(AC798=AD798,"TAM",(CONCATENATE(AE798,"/",AF798)))</f>
        <v>3812/48325</v>
      </c>
      <c r="AH798" s="11" t="s">
        <v>50</v>
      </c>
      <c r="AI798" s="21" t="s">
        <v>50</v>
      </c>
      <c r="AJ798" s="21" t="s">
        <v>2378</v>
      </c>
      <c r="AK798" s="54" t="s">
        <v>50</v>
      </c>
      <c r="AL798" s="1" t="s">
        <v>50</v>
      </c>
    </row>
    <row r="799" spans="1:37" ht="12.75" customHeight="1">
      <c r="A799" s="43"/>
      <c r="B799" s="13"/>
      <c r="C799" s="13"/>
      <c r="D799" s="31"/>
      <c r="E799" s="14" t="s">
        <v>50</v>
      </c>
      <c r="F799" s="14"/>
      <c r="G799" s="14"/>
      <c r="H799" s="14"/>
      <c r="I799" s="31"/>
      <c r="J799" s="31"/>
      <c r="K799" s="15"/>
      <c r="L799" s="15"/>
      <c r="M799" s="15"/>
      <c r="N799" s="15"/>
      <c r="O799" s="15"/>
      <c r="P799" s="14"/>
      <c r="Q799" s="14"/>
      <c r="R799" s="14"/>
      <c r="S799" s="14"/>
      <c r="T799" s="14"/>
      <c r="U799" s="14"/>
      <c r="V799" s="14"/>
      <c r="W799" s="14"/>
      <c r="X799" s="14"/>
      <c r="Y799" s="13"/>
      <c r="Z799" s="44"/>
      <c r="AA799" s="43"/>
      <c r="AB799" s="13"/>
      <c r="AC799" s="13"/>
      <c r="AD799" s="13"/>
      <c r="AE799" s="13"/>
      <c r="AF799" s="13"/>
      <c r="AG799" s="13"/>
      <c r="AH799" s="13"/>
      <c r="AI799" s="13"/>
      <c r="AJ799" s="13"/>
      <c r="AK799" s="44"/>
    </row>
    <row r="800" spans="1:38" ht="12.75" customHeight="1">
      <c r="A800" s="41">
        <v>450</v>
      </c>
      <c r="B800" s="10">
        <v>1136</v>
      </c>
      <c r="C800" s="10" t="s">
        <v>2380</v>
      </c>
      <c r="D800" s="16">
        <v>1361.86</v>
      </c>
      <c r="E800" s="20" t="s">
        <v>2381</v>
      </c>
      <c r="F800" s="20" t="s">
        <v>2382</v>
      </c>
      <c r="G800" s="12">
        <v>1</v>
      </c>
      <c r="H800" s="12">
        <v>2</v>
      </c>
      <c r="I800" s="16">
        <f>ROUND(G800,0)</f>
        <v>1</v>
      </c>
      <c r="J800" s="16">
        <f>ROUND(H800,0)</f>
        <v>2</v>
      </c>
      <c r="K800" s="18" t="str">
        <f>IF(I800=J800,"TAM",(CONCATENATE(G800,"/",H800)))</f>
        <v>1/2</v>
      </c>
      <c r="L800" s="29">
        <f>1361.86*1/2</f>
        <v>680.93</v>
      </c>
      <c r="M800" s="30">
        <v>0</v>
      </c>
      <c r="N800" s="16" t="str">
        <f>IF(M800=0,"0",(O800*M800))</f>
        <v>0</v>
      </c>
      <c r="O800" s="16">
        <f>IF(W800=1,L800,((D800*G800/H800)-P800)/(1-V800)-S800-T800)</f>
        <v>680.93</v>
      </c>
      <c r="P800" s="16">
        <v>0</v>
      </c>
      <c r="Q800" s="16">
        <f>IF(U800=0,"0",O800*U800)</f>
        <v>227.94297332734425</v>
      </c>
      <c r="R800" s="17">
        <f>IF(U800=0,(((D800*G800/H800)-P800-S800-T800)/(1-V800)),(((D800*G800/H800)-P800-S800-T800)/(1-V800))-((D800*G800/H800)-P800-S800-T800)*U800/(1-V800))</f>
        <v>452.9870266726557</v>
      </c>
      <c r="S800" s="12">
        <v>0</v>
      </c>
      <c r="T800" s="12">
        <v>0</v>
      </c>
      <c r="U800" s="12">
        <v>0.334752431714485</v>
      </c>
      <c r="V800" s="12">
        <v>0</v>
      </c>
      <c r="W800" s="28">
        <f>IF(V800&gt;U800,1,V800)</f>
        <v>0</v>
      </c>
      <c r="X800" s="12">
        <v>1</v>
      </c>
      <c r="Y800" s="16">
        <v>0</v>
      </c>
      <c r="Z800" s="42" t="str">
        <f>IF(OR(W800=1,W800=0),"0",(Q800-N800))</f>
        <v>0</v>
      </c>
      <c r="AA800" s="53" t="s">
        <v>2383</v>
      </c>
      <c r="AB800" s="16" t="s">
        <v>2385</v>
      </c>
      <c r="AC800" s="16">
        <v>38.13</v>
      </c>
      <c r="AD800" s="16">
        <v>483.25</v>
      </c>
      <c r="AE800" s="16">
        <f>ROUND(AC800*100,0)</f>
        <v>3813</v>
      </c>
      <c r="AF800" s="16">
        <f>ROUND(AD800*100,0)</f>
        <v>48325</v>
      </c>
      <c r="AG800" s="19" t="str">
        <f>IF(AC800=AD800,"TAM",(CONCATENATE(AE800,"/",AF800)))</f>
        <v>3813/48325</v>
      </c>
      <c r="AH800" s="11" t="s">
        <v>50</v>
      </c>
      <c r="AI800" s="21" t="s">
        <v>50</v>
      </c>
      <c r="AJ800" s="21" t="s">
        <v>2384</v>
      </c>
      <c r="AK800" s="54" t="s">
        <v>50</v>
      </c>
      <c r="AL800" s="1" t="s">
        <v>50</v>
      </c>
    </row>
    <row r="801" spans="1:37" ht="12.75" customHeight="1">
      <c r="A801" s="43"/>
      <c r="B801" s="13"/>
      <c r="C801" s="13"/>
      <c r="D801" s="31"/>
      <c r="E801" s="14" t="s">
        <v>50</v>
      </c>
      <c r="F801" s="14"/>
      <c r="G801" s="14"/>
      <c r="H801" s="14"/>
      <c r="I801" s="31"/>
      <c r="J801" s="31"/>
      <c r="K801" s="15"/>
      <c r="L801" s="15"/>
      <c r="M801" s="15"/>
      <c r="N801" s="15"/>
      <c r="O801" s="15"/>
      <c r="P801" s="14"/>
      <c r="Q801" s="14"/>
      <c r="R801" s="14"/>
      <c r="S801" s="14"/>
      <c r="T801" s="14"/>
      <c r="U801" s="14"/>
      <c r="V801" s="14"/>
      <c r="W801" s="14"/>
      <c r="X801" s="14"/>
      <c r="Y801" s="13"/>
      <c r="Z801" s="44"/>
      <c r="AA801" s="43"/>
      <c r="AB801" s="13"/>
      <c r="AC801" s="13"/>
      <c r="AD801" s="13"/>
      <c r="AE801" s="13"/>
      <c r="AF801" s="13"/>
      <c r="AG801" s="13"/>
      <c r="AH801" s="13"/>
      <c r="AI801" s="13"/>
      <c r="AJ801" s="13"/>
      <c r="AK801" s="44"/>
    </row>
    <row r="802" spans="1:38" ht="12.75" customHeight="1">
      <c r="A802" s="41">
        <v>458</v>
      </c>
      <c r="B802" s="10">
        <v>1139</v>
      </c>
      <c r="C802" s="10" t="s">
        <v>2386</v>
      </c>
      <c r="D802" s="16">
        <v>3113.93</v>
      </c>
      <c r="E802" s="20" t="s">
        <v>2387</v>
      </c>
      <c r="F802" s="20" t="s">
        <v>2388</v>
      </c>
      <c r="G802" s="12">
        <v>1</v>
      </c>
      <c r="H802" s="12">
        <v>1</v>
      </c>
      <c r="I802" s="16">
        <f>ROUND(G802,0)</f>
        <v>1</v>
      </c>
      <c r="J802" s="16">
        <f>ROUND(H802,0)</f>
        <v>1</v>
      </c>
      <c r="K802" s="18" t="str">
        <f>IF(I802=J802,"TAM",(CONCATENATE(G802,"/",H802)))</f>
        <v>TAM</v>
      </c>
      <c r="L802" s="29">
        <f>3113.93*1/1</f>
        <v>3113.93</v>
      </c>
      <c r="M802" s="30">
        <v>0</v>
      </c>
      <c r="N802" s="16" t="str">
        <f>IF(M802=0,"0",(O802*M802))</f>
        <v>0</v>
      </c>
      <c r="O802" s="16">
        <f>IF(W802=1,L802,((D802*G802/H802)-P802)/(1-V802)-S802-T802)</f>
        <v>3113.93</v>
      </c>
      <c r="P802" s="16">
        <v>0</v>
      </c>
      <c r="Q802" s="16">
        <f>IF(U802=0,"0",O802*U802)</f>
        <v>1042.3956396886863</v>
      </c>
      <c r="R802" s="17">
        <f>IF(U802=0,(((D802*G802/H802)-P802-S802-T802)/(1-V802)),(((D802*G802/H802)-P802-S802-T802)/(1-V802))-((D802*G802/H802)-P802-S802-T802)*U802/(1-V802))</f>
        <v>2071.5343603113133</v>
      </c>
      <c r="S802" s="12">
        <v>0</v>
      </c>
      <c r="T802" s="12">
        <v>0</v>
      </c>
      <c r="U802" s="12">
        <v>0.334752431714485</v>
      </c>
      <c r="V802" s="12">
        <v>0</v>
      </c>
      <c r="W802" s="28">
        <f>IF(V802&gt;U802,1,V802)</f>
        <v>0</v>
      </c>
      <c r="X802" s="12">
        <v>1</v>
      </c>
      <c r="Y802" s="16">
        <v>0</v>
      </c>
      <c r="Z802" s="42" t="str">
        <f>IF(OR(W802=1,W802=0),"0",(Q802-N802))</f>
        <v>0</v>
      </c>
      <c r="AA802" s="53" t="s">
        <v>2389</v>
      </c>
      <c r="AB802" s="16" t="s">
        <v>2391</v>
      </c>
      <c r="AC802" s="16">
        <v>105.76</v>
      </c>
      <c r="AD802" s="16">
        <v>483.25</v>
      </c>
      <c r="AE802" s="16">
        <f>ROUND(AC802*100,0)</f>
        <v>10576</v>
      </c>
      <c r="AF802" s="16">
        <f>ROUND(AD802*100,0)</f>
        <v>48325</v>
      </c>
      <c r="AG802" s="19" t="str">
        <f>IF(AC802=AD802,"TAM",(CONCATENATE(AE802,"/",AF802)))</f>
        <v>10576/48325</v>
      </c>
      <c r="AH802" s="11" t="s">
        <v>50</v>
      </c>
      <c r="AI802" s="21" t="s">
        <v>50</v>
      </c>
      <c r="AJ802" s="21" t="s">
        <v>2390</v>
      </c>
      <c r="AK802" s="54" t="s">
        <v>50</v>
      </c>
      <c r="AL802" s="1" t="s">
        <v>50</v>
      </c>
    </row>
    <row r="803" spans="1:37" ht="12.75" customHeight="1">
      <c r="A803" s="43"/>
      <c r="B803" s="13"/>
      <c r="C803" s="13"/>
      <c r="D803" s="31"/>
      <c r="E803" s="14" t="s">
        <v>50</v>
      </c>
      <c r="F803" s="14"/>
      <c r="G803" s="14"/>
      <c r="H803" s="14"/>
      <c r="I803" s="31"/>
      <c r="J803" s="31"/>
      <c r="K803" s="15"/>
      <c r="L803" s="15"/>
      <c r="M803" s="15"/>
      <c r="N803" s="15"/>
      <c r="O803" s="15"/>
      <c r="P803" s="14"/>
      <c r="Q803" s="14"/>
      <c r="R803" s="14"/>
      <c r="S803" s="14"/>
      <c r="T803" s="14"/>
      <c r="U803" s="14"/>
      <c r="V803" s="14"/>
      <c r="W803" s="14"/>
      <c r="X803" s="14"/>
      <c r="Y803" s="13"/>
      <c r="Z803" s="44"/>
      <c r="AA803" s="43"/>
      <c r="AB803" s="13"/>
      <c r="AC803" s="13"/>
      <c r="AD803" s="13"/>
      <c r="AE803" s="13"/>
      <c r="AF803" s="13"/>
      <c r="AG803" s="13"/>
      <c r="AH803" s="13"/>
      <c r="AI803" s="13"/>
      <c r="AJ803" s="13"/>
      <c r="AK803" s="44"/>
    </row>
    <row r="804" spans="1:38" ht="12.75" customHeight="1">
      <c r="A804" s="41">
        <v>455</v>
      </c>
      <c r="B804" s="10">
        <v>1138</v>
      </c>
      <c r="C804" s="10" t="s">
        <v>2392</v>
      </c>
      <c r="D804" s="16">
        <v>3647.83</v>
      </c>
      <c r="E804" s="20" t="s">
        <v>2393</v>
      </c>
      <c r="F804" s="20" t="s">
        <v>2394</v>
      </c>
      <c r="G804" s="12">
        <v>1</v>
      </c>
      <c r="H804" s="12">
        <v>3</v>
      </c>
      <c r="I804" s="16">
        <f>ROUND(G804,0)</f>
        <v>1</v>
      </c>
      <c r="J804" s="16">
        <f>ROUND(H804,0)</f>
        <v>3</v>
      </c>
      <c r="K804" s="18" t="str">
        <f>IF(I804=J804,"TAM",(CONCATENATE(G804,"/",H804)))</f>
        <v>1/3</v>
      </c>
      <c r="L804" s="29">
        <f>3647.83*1/3</f>
        <v>1215.9433333333332</v>
      </c>
      <c r="M804" s="30">
        <v>0</v>
      </c>
      <c r="N804" s="16" t="str">
        <f>IF(M804=0,"0",(O804*M804))</f>
        <v>0</v>
      </c>
      <c r="O804" s="16">
        <f>IF(W804=1,L804,((D804*G804/H804)-P804)/(1-V804)-S804-T804)</f>
        <v>918.1733333333334</v>
      </c>
      <c r="P804" s="16">
        <v>297.77</v>
      </c>
      <c r="Q804" s="16">
        <f>IF(U804=0,"0",O804*U804)</f>
        <v>307.36075606872777</v>
      </c>
      <c r="R804" s="17">
        <f>IF(U804=0,(((D804*G804/H804)-P804-S804-T804)/(1-V804)),(((D804*G804/H804)-P804-S804-T804)/(1-V804))-((D804*G804/H804)-P804-S804-T804)*U804/(1-V804))</f>
        <v>610.8125772646056</v>
      </c>
      <c r="S804" s="12">
        <v>0</v>
      </c>
      <c r="T804" s="12">
        <v>0</v>
      </c>
      <c r="U804" s="12">
        <v>0.334752431714485</v>
      </c>
      <c r="V804" s="12">
        <v>0</v>
      </c>
      <c r="W804" s="28">
        <f>IF(V804&gt;U804,1,V804)</f>
        <v>0</v>
      </c>
      <c r="X804" s="12">
        <v>1</v>
      </c>
      <c r="Y804" s="16">
        <v>0</v>
      </c>
      <c r="Z804" s="42" t="str">
        <f>IF(OR(W804=1,W804=0),"0",(Q804-N804))</f>
        <v>0</v>
      </c>
      <c r="AA804" s="53" t="s">
        <v>2395</v>
      </c>
      <c r="AB804" s="16" t="s">
        <v>2397</v>
      </c>
      <c r="AC804" s="16">
        <v>550.25</v>
      </c>
      <c r="AD804" s="16">
        <v>1650.75</v>
      </c>
      <c r="AE804" s="16">
        <f>ROUND(AC804*100,0)</f>
        <v>55025</v>
      </c>
      <c r="AF804" s="16">
        <f>ROUND(AD804*100,0)</f>
        <v>165075</v>
      </c>
      <c r="AG804" s="19" t="str">
        <f>IF(AC804=AD804,"TAM",(CONCATENATE(AE804,"/",AF804)))</f>
        <v>55025/165075</v>
      </c>
      <c r="AH804" s="11" t="s">
        <v>50</v>
      </c>
      <c r="AI804" s="21" t="s">
        <v>50</v>
      </c>
      <c r="AJ804" s="21" t="s">
        <v>2396</v>
      </c>
      <c r="AK804" s="54" t="s">
        <v>50</v>
      </c>
      <c r="AL804" s="1" t="s">
        <v>50</v>
      </c>
    </row>
    <row r="805" spans="1:37" ht="12.75" customHeight="1">
      <c r="A805" s="43"/>
      <c r="B805" s="13"/>
      <c r="C805" s="13"/>
      <c r="D805" s="31"/>
      <c r="E805" s="14" t="s">
        <v>50</v>
      </c>
      <c r="F805" s="14"/>
      <c r="G805" s="14"/>
      <c r="H805" s="14"/>
      <c r="I805" s="31"/>
      <c r="J805" s="31"/>
      <c r="K805" s="15"/>
      <c r="L805" s="15"/>
      <c r="M805" s="15"/>
      <c r="N805" s="15"/>
      <c r="O805" s="15"/>
      <c r="P805" s="14"/>
      <c r="Q805" s="14"/>
      <c r="R805" s="14"/>
      <c r="S805" s="14"/>
      <c r="T805" s="14"/>
      <c r="U805" s="14"/>
      <c r="V805" s="14"/>
      <c r="W805" s="14"/>
      <c r="X805" s="14"/>
      <c r="Y805" s="13"/>
      <c r="Z805" s="44"/>
      <c r="AA805" s="43"/>
      <c r="AB805" s="13"/>
      <c r="AC805" s="13"/>
      <c r="AD805" s="13"/>
      <c r="AE805" s="13"/>
      <c r="AF805" s="13"/>
      <c r="AG805" s="13"/>
      <c r="AH805" s="13"/>
      <c r="AI805" s="13"/>
      <c r="AJ805" s="13"/>
      <c r="AK805" s="44"/>
    </row>
    <row r="806" spans="1:38" ht="12.75" customHeight="1">
      <c r="A806" s="41">
        <v>456</v>
      </c>
      <c r="B806" s="10">
        <v>1138</v>
      </c>
      <c r="C806" s="10" t="s">
        <v>2398</v>
      </c>
      <c r="D806" s="16">
        <v>3647.83</v>
      </c>
      <c r="E806" s="20" t="s">
        <v>2399</v>
      </c>
      <c r="F806" s="20" t="s">
        <v>2400</v>
      </c>
      <c r="G806" s="12">
        <v>1</v>
      </c>
      <c r="H806" s="12">
        <v>3</v>
      </c>
      <c r="I806" s="16">
        <f>ROUND(G806,0)</f>
        <v>1</v>
      </c>
      <c r="J806" s="16">
        <f>ROUND(H806,0)</f>
        <v>3</v>
      </c>
      <c r="K806" s="18" t="str">
        <f>IF(I806=J806,"TAM",(CONCATENATE(G806,"/",H806)))</f>
        <v>1/3</v>
      </c>
      <c r="L806" s="29">
        <f>3647.83*1/3</f>
        <v>1215.9433333333332</v>
      </c>
      <c r="M806" s="30">
        <v>0</v>
      </c>
      <c r="N806" s="16" t="str">
        <f>IF(M806=0,"0",(O806*M806))</f>
        <v>0</v>
      </c>
      <c r="O806" s="16">
        <f>IF(W806=1,L806,((D806*G806/H806)-P806)/(1-V806)-S806-T806)</f>
        <v>918.1733333333334</v>
      </c>
      <c r="P806" s="16">
        <v>297.77</v>
      </c>
      <c r="Q806" s="16">
        <f>IF(U806=0,"0",O806*U806)</f>
        <v>307.36075606872777</v>
      </c>
      <c r="R806" s="17">
        <f>IF(U806=0,(((D806*G806/H806)-P806-S806-T806)/(1-V806)),(((D806*G806/H806)-P806-S806-T806)/(1-V806))-((D806*G806/H806)-P806-S806-T806)*U806/(1-V806))</f>
        <v>610.8125772646056</v>
      </c>
      <c r="S806" s="12">
        <v>0</v>
      </c>
      <c r="T806" s="12">
        <v>0</v>
      </c>
      <c r="U806" s="12">
        <v>0.334752431714485</v>
      </c>
      <c r="V806" s="12">
        <v>0</v>
      </c>
      <c r="W806" s="28">
        <f>IF(V806&gt;U806,1,V806)</f>
        <v>0</v>
      </c>
      <c r="X806" s="12">
        <v>1</v>
      </c>
      <c r="Y806" s="16">
        <v>0</v>
      </c>
      <c r="Z806" s="42" t="str">
        <f>IF(OR(W806=1,W806=0),"0",(Q806-N806))</f>
        <v>0</v>
      </c>
      <c r="AA806" s="53" t="s">
        <v>2401</v>
      </c>
      <c r="AB806" s="16" t="s">
        <v>2403</v>
      </c>
      <c r="AC806" s="16">
        <v>550.26</v>
      </c>
      <c r="AD806" s="16">
        <v>1650.75</v>
      </c>
      <c r="AE806" s="16">
        <f>ROUND(AC806*100,0)</f>
        <v>55026</v>
      </c>
      <c r="AF806" s="16">
        <f>ROUND(AD806*100,0)</f>
        <v>165075</v>
      </c>
      <c r="AG806" s="19" t="str">
        <f>IF(AC806=AD806,"TAM",(CONCATENATE(AE806,"/",AF806)))</f>
        <v>55026/165075</v>
      </c>
      <c r="AH806" s="11" t="s">
        <v>50</v>
      </c>
      <c r="AI806" s="21" t="s">
        <v>50</v>
      </c>
      <c r="AJ806" s="21" t="s">
        <v>2402</v>
      </c>
      <c r="AK806" s="54" t="s">
        <v>50</v>
      </c>
      <c r="AL806" s="1" t="s">
        <v>50</v>
      </c>
    </row>
    <row r="807" spans="1:37" ht="12.75" customHeight="1">
      <c r="A807" s="43"/>
      <c r="B807" s="13"/>
      <c r="C807" s="13"/>
      <c r="D807" s="31"/>
      <c r="E807" s="14" t="s">
        <v>50</v>
      </c>
      <c r="F807" s="14"/>
      <c r="G807" s="14"/>
      <c r="H807" s="14"/>
      <c r="I807" s="31"/>
      <c r="J807" s="31"/>
      <c r="K807" s="15"/>
      <c r="L807" s="15"/>
      <c r="M807" s="15"/>
      <c r="N807" s="15"/>
      <c r="O807" s="15"/>
      <c r="P807" s="14"/>
      <c r="Q807" s="14"/>
      <c r="R807" s="14"/>
      <c r="S807" s="14"/>
      <c r="T807" s="14"/>
      <c r="U807" s="14"/>
      <c r="V807" s="14"/>
      <c r="W807" s="14"/>
      <c r="X807" s="14"/>
      <c r="Y807" s="13"/>
      <c r="Z807" s="44"/>
      <c r="AA807" s="43"/>
      <c r="AB807" s="13"/>
      <c r="AC807" s="13"/>
      <c r="AD807" s="13"/>
      <c r="AE807" s="13"/>
      <c r="AF807" s="13"/>
      <c r="AG807" s="13"/>
      <c r="AH807" s="13"/>
      <c r="AI807" s="13"/>
      <c r="AJ807" s="13"/>
      <c r="AK807" s="44"/>
    </row>
    <row r="808" spans="1:38" ht="12.75" customHeight="1">
      <c r="A808" s="41">
        <v>457</v>
      </c>
      <c r="B808" s="10">
        <v>1138</v>
      </c>
      <c r="C808" s="10" t="s">
        <v>2404</v>
      </c>
      <c r="D808" s="16">
        <v>3647.83</v>
      </c>
      <c r="E808" s="20" t="s">
        <v>2405</v>
      </c>
      <c r="F808" s="20" t="s">
        <v>2406</v>
      </c>
      <c r="G808" s="12">
        <v>1</v>
      </c>
      <c r="H808" s="12">
        <v>3</v>
      </c>
      <c r="I808" s="16">
        <f>ROUND(G808,0)</f>
        <v>1</v>
      </c>
      <c r="J808" s="16">
        <f>ROUND(H808,0)</f>
        <v>3</v>
      </c>
      <c r="K808" s="18" t="str">
        <f>IF(I808=J808,"TAM",(CONCATENATE(G808,"/",H808)))</f>
        <v>1/3</v>
      </c>
      <c r="L808" s="29">
        <f>3647.83*1/3</f>
        <v>1215.9433333333332</v>
      </c>
      <c r="M808" s="30">
        <v>0</v>
      </c>
      <c r="N808" s="16" t="str">
        <f>IF(M808=0,"0",(O808*M808))</f>
        <v>0</v>
      </c>
      <c r="O808" s="16">
        <f>IF(W808=1,L808,((D808*G808/H808)-P808)/(1-V808)-S808-T808)</f>
        <v>918.1733333333334</v>
      </c>
      <c r="P808" s="16">
        <v>297.77</v>
      </c>
      <c r="Q808" s="16">
        <f>IF(U808=0,"0",O808*U808)</f>
        <v>307.36075606872777</v>
      </c>
      <c r="R808" s="17">
        <f>IF(U808=0,(((D808*G808/H808)-P808-S808-T808)/(1-V808)),(((D808*G808/H808)-P808-S808-T808)/(1-V808))-((D808*G808/H808)-P808-S808-T808)*U808/(1-V808))</f>
        <v>610.8125772646056</v>
      </c>
      <c r="S808" s="12">
        <v>0</v>
      </c>
      <c r="T808" s="12">
        <v>0</v>
      </c>
      <c r="U808" s="12">
        <v>0.334752431714485</v>
      </c>
      <c r="V808" s="12">
        <v>0</v>
      </c>
      <c r="W808" s="28">
        <f>IF(V808&gt;U808,1,V808)</f>
        <v>0</v>
      </c>
      <c r="X808" s="12">
        <v>1</v>
      </c>
      <c r="Y808" s="16">
        <v>0</v>
      </c>
      <c r="Z808" s="42" t="str">
        <f>IF(OR(W808=1,W808=0),"0",(Q808-N808))</f>
        <v>0</v>
      </c>
      <c r="AA808" s="53" t="s">
        <v>2407</v>
      </c>
      <c r="AB808" s="16" t="s">
        <v>2409</v>
      </c>
      <c r="AC808" s="16">
        <v>550.24</v>
      </c>
      <c r="AD808" s="16">
        <v>1650.75</v>
      </c>
      <c r="AE808" s="16">
        <f>ROUND(AC808*100,0)</f>
        <v>55024</v>
      </c>
      <c r="AF808" s="16">
        <f>ROUND(AD808*100,0)</f>
        <v>165075</v>
      </c>
      <c r="AG808" s="19" t="str">
        <f>IF(AC808=AD808,"TAM",(CONCATENATE(AE808,"/",AF808)))</f>
        <v>55024/165075</v>
      </c>
      <c r="AH808" s="11" t="s">
        <v>50</v>
      </c>
      <c r="AI808" s="21" t="s">
        <v>50</v>
      </c>
      <c r="AJ808" s="21" t="s">
        <v>2408</v>
      </c>
      <c r="AK808" s="54" t="s">
        <v>50</v>
      </c>
      <c r="AL808" s="1" t="s">
        <v>50</v>
      </c>
    </row>
    <row r="809" spans="1:37" ht="12.75" customHeight="1">
      <c r="A809" s="43"/>
      <c r="B809" s="13"/>
      <c r="C809" s="13"/>
      <c r="D809" s="31"/>
      <c r="E809" s="14" t="s">
        <v>50</v>
      </c>
      <c r="F809" s="14"/>
      <c r="G809" s="14"/>
      <c r="H809" s="14"/>
      <c r="I809" s="31"/>
      <c r="J809" s="31"/>
      <c r="K809" s="15"/>
      <c r="L809" s="15"/>
      <c r="M809" s="15"/>
      <c r="N809" s="15"/>
      <c r="O809" s="15"/>
      <c r="P809" s="14"/>
      <c r="Q809" s="14"/>
      <c r="R809" s="14"/>
      <c r="S809" s="14"/>
      <c r="T809" s="14"/>
      <c r="U809" s="14"/>
      <c r="V809" s="14"/>
      <c r="W809" s="14"/>
      <c r="X809" s="14"/>
      <c r="Y809" s="13"/>
      <c r="Z809" s="44"/>
      <c r="AA809" s="43"/>
      <c r="AB809" s="13"/>
      <c r="AC809" s="13"/>
      <c r="AD809" s="13"/>
      <c r="AE809" s="13"/>
      <c r="AF809" s="13"/>
      <c r="AG809" s="13"/>
      <c r="AH809" s="13"/>
      <c r="AI809" s="13"/>
      <c r="AJ809" s="13"/>
      <c r="AK809" s="44"/>
    </row>
    <row r="810" spans="1:38" ht="12.75" customHeight="1">
      <c r="A810" s="41">
        <v>566</v>
      </c>
      <c r="B810" s="10">
        <v>0</v>
      </c>
      <c r="C810" s="10" t="s">
        <v>2410</v>
      </c>
      <c r="D810" s="16">
        <v>182.22</v>
      </c>
      <c r="E810" s="73" t="s">
        <v>2411</v>
      </c>
      <c r="F810" s="20" t="s">
        <v>50</v>
      </c>
      <c r="G810" s="12">
        <v>1</v>
      </c>
      <c r="H810" s="12">
        <v>1</v>
      </c>
      <c r="I810" s="16">
        <f>ROUND(G810,0)</f>
        <v>1</v>
      </c>
      <c r="J810" s="16">
        <f>ROUND(H810,0)</f>
        <v>1</v>
      </c>
      <c r="K810" s="18" t="str">
        <f>IF(I810=J810,"TAM",(CONCATENATE(G810,"/",H810)))</f>
        <v>TAM</v>
      </c>
      <c r="L810" s="29">
        <f>182.22*1/1</f>
        <v>182.22</v>
      </c>
      <c r="M810" s="30">
        <v>0</v>
      </c>
      <c r="N810" s="16" t="str">
        <f>IF(M810=0,"0",(O810*M810))</f>
        <v>0</v>
      </c>
      <c r="O810" s="16">
        <f>IF(W810=1,L810,((D810*G810/H810)-P810)/(1-V810)-S810-T810)</f>
        <v>182.22</v>
      </c>
      <c r="P810" s="16">
        <v>0</v>
      </c>
      <c r="Q810" s="16">
        <f>IF(U810=0,"0",O810*U810)</f>
        <v>60.998588107013454</v>
      </c>
      <c r="R810" s="17">
        <f>IF(U810=0,(((D810*G810/H810)-P810-S810-T810)/(1-V810)),(((D810*G810/H810)-P810-S810-T810)/(1-V810))-((D810*G810/H810)-P810-S810-T810)*U810/(1-V810))</f>
        <v>121.22141189298654</v>
      </c>
      <c r="S810" s="12">
        <v>0</v>
      </c>
      <c r="T810" s="12">
        <v>0</v>
      </c>
      <c r="U810" s="12">
        <v>0.334752431714485</v>
      </c>
      <c r="V810" s="12">
        <v>0</v>
      </c>
      <c r="W810" s="28">
        <f>IF(V810&gt;U810,1,V810)</f>
        <v>0</v>
      </c>
      <c r="X810" s="12">
        <v>0</v>
      </c>
      <c r="Y810" s="16">
        <v>0</v>
      </c>
      <c r="Z810" s="42" t="str">
        <f>IF(OR(W810=1,W810=0),"0",(Q810-N810))</f>
        <v>0</v>
      </c>
      <c r="AA810" s="53" t="s">
        <v>2412</v>
      </c>
      <c r="AB810" s="16" t="s">
        <v>2414</v>
      </c>
      <c r="AC810" s="16">
        <v>182.22</v>
      </c>
      <c r="AD810" s="16">
        <v>182.22</v>
      </c>
      <c r="AE810" s="16">
        <f>ROUND(AC810*100,0)</f>
        <v>18222</v>
      </c>
      <c r="AF810" s="16">
        <f>ROUND(AD810*100,0)</f>
        <v>18222</v>
      </c>
      <c r="AG810" s="19" t="str">
        <f>IF(AC810=AD810,"TAM",(CONCATENATE(AE810,"/",AF810)))</f>
        <v>TAM</v>
      </c>
      <c r="AH810" s="11" t="s">
        <v>50</v>
      </c>
      <c r="AI810" s="21" t="s">
        <v>50</v>
      </c>
      <c r="AJ810" s="21" t="s">
        <v>2413</v>
      </c>
      <c r="AK810" s="54" t="s">
        <v>50</v>
      </c>
      <c r="AL810" s="1" t="s">
        <v>50</v>
      </c>
    </row>
    <row r="811" spans="1:37" ht="12.75" customHeight="1">
      <c r="A811" s="43"/>
      <c r="B811" s="13"/>
      <c r="C811" s="13"/>
      <c r="D811" s="31"/>
      <c r="E811" s="74"/>
      <c r="F811" s="14"/>
      <c r="G811" s="14"/>
      <c r="H811" s="14"/>
      <c r="I811" s="31"/>
      <c r="J811" s="31"/>
      <c r="K811" s="15"/>
      <c r="L811" s="15"/>
      <c r="M811" s="15"/>
      <c r="N811" s="15"/>
      <c r="O811" s="15"/>
      <c r="P811" s="14"/>
      <c r="Q811" s="14"/>
      <c r="R811" s="14"/>
      <c r="S811" s="14"/>
      <c r="T811" s="14"/>
      <c r="U811" s="14"/>
      <c r="V811" s="14"/>
      <c r="W811" s="14"/>
      <c r="X811" s="14"/>
      <c r="Y811" s="13"/>
      <c r="Z811" s="44"/>
      <c r="AA811" s="43"/>
      <c r="AB811" s="13"/>
      <c r="AC811" s="13"/>
      <c r="AD811" s="13"/>
      <c r="AE811" s="13"/>
      <c r="AF811" s="13"/>
      <c r="AG811" s="13"/>
      <c r="AH811" s="13"/>
      <c r="AI811" s="13"/>
      <c r="AJ811" s="13"/>
      <c r="AK811" s="44"/>
    </row>
    <row r="812" spans="1:38" ht="12.75" customHeight="1">
      <c r="A812" s="41">
        <v>564</v>
      </c>
      <c r="B812" s="10">
        <v>0</v>
      </c>
      <c r="C812" s="10" t="s">
        <v>2415</v>
      </c>
      <c r="D812" s="16">
        <v>105.91</v>
      </c>
      <c r="E812" s="20" t="s">
        <v>2416</v>
      </c>
      <c r="F812" s="20" t="s">
        <v>50</v>
      </c>
      <c r="G812" s="12">
        <v>1</v>
      </c>
      <c r="H812" s="12">
        <v>1</v>
      </c>
      <c r="I812" s="16">
        <f>ROUND(G812,0)</f>
        <v>1</v>
      </c>
      <c r="J812" s="16">
        <f>ROUND(H812,0)</f>
        <v>1</v>
      </c>
      <c r="K812" s="18" t="str">
        <f>IF(I812=J812,"TAM",(CONCATENATE(G812,"/",H812)))</f>
        <v>TAM</v>
      </c>
      <c r="L812" s="29">
        <f>105.91*1/1</f>
        <v>105.91</v>
      </c>
      <c r="M812" s="30">
        <v>0</v>
      </c>
      <c r="N812" s="16" t="str">
        <f>IF(M812=0,"0",(O812*M812))</f>
        <v>0</v>
      </c>
      <c r="O812" s="16">
        <f>IF(W812=1,L812,((D812*G812/H812)-P812)/(1-V812)-S812-T812)</f>
        <v>105.91</v>
      </c>
      <c r="P812" s="16">
        <v>0</v>
      </c>
      <c r="Q812" s="16">
        <f>IF(U812=0,"0",O812*U812)</f>
        <v>35.4536300428811</v>
      </c>
      <c r="R812" s="17">
        <f>IF(U812=0,(((D812*G812/H812)-P812-S812-T812)/(1-V812)),(((D812*G812/H812)-P812-S812-T812)/(1-V812))-((D812*G812/H812)-P812-S812-T812)*U812/(1-V812))</f>
        <v>70.4563699571189</v>
      </c>
      <c r="S812" s="12">
        <v>0</v>
      </c>
      <c r="T812" s="12">
        <v>0</v>
      </c>
      <c r="U812" s="12">
        <v>0.334752431714485</v>
      </c>
      <c r="V812" s="12">
        <v>0</v>
      </c>
      <c r="W812" s="28">
        <f>IF(V812&gt;U812,1,V812)</f>
        <v>0</v>
      </c>
      <c r="X812" s="12">
        <v>0</v>
      </c>
      <c r="Y812" s="16">
        <v>0</v>
      </c>
      <c r="Z812" s="42" t="str">
        <f>IF(OR(W812=1,W812=0),"0",(Q812-N812))</f>
        <v>0</v>
      </c>
      <c r="AA812" s="53" t="s">
        <v>2417</v>
      </c>
      <c r="AB812" s="16" t="s">
        <v>2419</v>
      </c>
      <c r="AC812" s="16">
        <v>105.91</v>
      </c>
      <c r="AD812" s="16">
        <v>105.91</v>
      </c>
      <c r="AE812" s="16">
        <f>ROUND(AC812*100,0)</f>
        <v>10591</v>
      </c>
      <c r="AF812" s="16">
        <f>ROUND(AD812*100,0)</f>
        <v>10591</v>
      </c>
      <c r="AG812" s="19" t="str">
        <f>IF(AC812=AD812,"TAM",(CONCATENATE(AE812,"/",AF812)))</f>
        <v>TAM</v>
      </c>
      <c r="AH812" s="11" t="s">
        <v>50</v>
      </c>
      <c r="AI812" s="21" t="s">
        <v>50</v>
      </c>
      <c r="AJ812" s="76" t="s">
        <v>2418</v>
      </c>
      <c r="AK812" s="54" t="s">
        <v>50</v>
      </c>
      <c r="AL812" s="1" t="s">
        <v>50</v>
      </c>
    </row>
    <row r="813" spans="1:37" ht="12.75" customHeight="1">
      <c r="A813" s="43"/>
      <c r="B813" s="13"/>
      <c r="C813" s="13"/>
      <c r="D813" s="31"/>
      <c r="E813" s="14" t="s">
        <v>50</v>
      </c>
      <c r="F813" s="14"/>
      <c r="G813" s="14"/>
      <c r="H813" s="14"/>
      <c r="I813" s="31"/>
      <c r="J813" s="31"/>
      <c r="K813" s="15"/>
      <c r="L813" s="15"/>
      <c r="M813" s="15"/>
      <c r="N813" s="15"/>
      <c r="O813" s="15"/>
      <c r="P813" s="14"/>
      <c r="Q813" s="14"/>
      <c r="R813" s="14"/>
      <c r="S813" s="14"/>
      <c r="T813" s="14"/>
      <c r="U813" s="14"/>
      <c r="V813" s="14"/>
      <c r="W813" s="14"/>
      <c r="X813" s="14"/>
      <c r="Y813" s="13"/>
      <c r="Z813" s="44"/>
      <c r="AA813" s="43"/>
      <c r="AB813" s="13"/>
      <c r="AC813" s="13"/>
      <c r="AD813" s="13"/>
      <c r="AE813" s="13"/>
      <c r="AF813" s="13"/>
      <c r="AG813" s="13"/>
      <c r="AH813" s="13"/>
      <c r="AI813" s="13"/>
      <c r="AJ813" s="72"/>
      <c r="AK813" s="44"/>
    </row>
    <row r="814" spans="1:38" ht="12.75" customHeight="1">
      <c r="A814" s="41">
        <v>565</v>
      </c>
      <c r="B814" s="10">
        <v>0</v>
      </c>
      <c r="C814" s="10" t="s">
        <v>2420</v>
      </c>
      <c r="D814" s="16">
        <v>215.85</v>
      </c>
      <c r="E814" s="73" t="s">
        <v>2421</v>
      </c>
      <c r="F814" s="20" t="s">
        <v>50</v>
      </c>
      <c r="G814" s="12">
        <v>1</v>
      </c>
      <c r="H814" s="12">
        <v>1</v>
      </c>
      <c r="I814" s="16">
        <f>ROUND(G814,0)</f>
        <v>1</v>
      </c>
      <c r="J814" s="16">
        <f>ROUND(H814,0)</f>
        <v>1</v>
      </c>
      <c r="K814" s="18" t="str">
        <f>IF(I814=J814,"TAM",(CONCATENATE(G814,"/",H814)))</f>
        <v>TAM</v>
      </c>
      <c r="L814" s="29">
        <f>215.85*1/1</f>
        <v>215.85</v>
      </c>
      <c r="M814" s="30">
        <v>0</v>
      </c>
      <c r="N814" s="16" t="str">
        <f>IF(M814=0,"0",(O814*M814))</f>
        <v>0</v>
      </c>
      <c r="O814" s="16">
        <f>IF(W814=1,L814,((D814*G814/H814)-P814)/(1-V814)-S814-T814)</f>
        <v>215.85</v>
      </c>
      <c r="P814" s="16">
        <v>0</v>
      </c>
      <c r="Q814" s="16">
        <f>IF(U814=0,"0",O814*U814)</f>
        <v>72.25631238557158</v>
      </c>
      <c r="R814" s="17">
        <f>IF(U814=0,(((D814*G814/H814)-P814-S814-T814)/(1-V814)),(((D814*G814/H814)-P814-S814-T814)/(1-V814))-((D814*G814/H814)-P814-S814-T814)*U814/(1-V814))</f>
        <v>143.5936876144284</v>
      </c>
      <c r="S814" s="12">
        <v>0</v>
      </c>
      <c r="T814" s="12">
        <v>0</v>
      </c>
      <c r="U814" s="12">
        <v>0.334752431714485</v>
      </c>
      <c r="V814" s="12">
        <v>0</v>
      </c>
      <c r="W814" s="28">
        <f>IF(V814&gt;U814,1,V814)</f>
        <v>0</v>
      </c>
      <c r="X814" s="12">
        <v>0</v>
      </c>
      <c r="Y814" s="16">
        <v>0</v>
      </c>
      <c r="Z814" s="42" t="str">
        <f>IF(OR(W814=1,W814=0),"0",(Q814-N814))</f>
        <v>0</v>
      </c>
      <c r="AA814" s="53" t="s">
        <v>2422</v>
      </c>
      <c r="AB814" s="16" t="s">
        <v>2424</v>
      </c>
      <c r="AC814" s="16">
        <v>215.85</v>
      </c>
      <c r="AD814" s="16">
        <v>215.85</v>
      </c>
      <c r="AE814" s="16">
        <f>ROUND(AC814*100,0)</f>
        <v>21585</v>
      </c>
      <c r="AF814" s="16">
        <f>ROUND(AD814*100,0)</f>
        <v>21585</v>
      </c>
      <c r="AG814" s="19" t="str">
        <f>IF(AC814=AD814,"TAM",(CONCATENATE(AE814,"/",AF814)))</f>
        <v>TAM</v>
      </c>
      <c r="AH814" s="11" t="s">
        <v>50</v>
      </c>
      <c r="AI814" s="21" t="s">
        <v>50</v>
      </c>
      <c r="AJ814" s="21" t="s">
        <v>2423</v>
      </c>
      <c r="AK814" s="54" t="s">
        <v>50</v>
      </c>
      <c r="AL814" s="1" t="s">
        <v>50</v>
      </c>
    </row>
    <row r="815" spans="1:37" ht="12.75" customHeight="1" thickBot="1">
      <c r="A815" s="45"/>
      <c r="B815" s="46"/>
      <c r="C815" s="46"/>
      <c r="D815" s="47"/>
      <c r="E815" s="75"/>
      <c r="F815" s="48"/>
      <c r="G815" s="48"/>
      <c r="H815" s="48"/>
      <c r="I815" s="47"/>
      <c r="J815" s="47"/>
      <c r="K815" s="49"/>
      <c r="L815" s="49"/>
      <c r="M815" s="49"/>
      <c r="N815" s="49"/>
      <c r="O815" s="49"/>
      <c r="P815" s="48"/>
      <c r="Q815" s="48"/>
      <c r="R815" s="48"/>
      <c r="S815" s="48"/>
      <c r="T815" s="48"/>
      <c r="U815" s="48"/>
      <c r="V815" s="48"/>
      <c r="W815" s="48"/>
      <c r="X815" s="48"/>
      <c r="Y815" s="46"/>
      <c r="Z815" s="50"/>
      <c r="AA815" s="45"/>
      <c r="AB815" s="46"/>
      <c r="AC815" s="46"/>
      <c r="AD815" s="46"/>
      <c r="AE815" s="46"/>
      <c r="AF815" s="46"/>
      <c r="AG815" s="46"/>
      <c r="AH815" s="46"/>
      <c r="AI815" s="46"/>
      <c r="AJ815" s="46"/>
      <c r="AK815" s="50"/>
    </row>
    <row r="816" spans="4:33" ht="12.75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B816" s="4"/>
      <c r="AC816" s="4"/>
      <c r="AD816" s="4"/>
      <c r="AE816" s="4"/>
      <c r="AF816" s="4"/>
      <c r="AG816" s="4"/>
    </row>
  </sheetData>
  <sheetProtection/>
  <mergeCells count="115">
    <mergeCell ref="AA8:AK8"/>
    <mergeCell ref="D3:AH3"/>
    <mergeCell ref="D5:AH5"/>
    <mergeCell ref="D7:AH7"/>
    <mergeCell ref="AJ54:AJ55"/>
    <mergeCell ref="A8:Z8"/>
    <mergeCell ref="AJ56:AJ5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92:AJ193"/>
    <mergeCell ref="AJ194:AJ195"/>
    <mergeCell ref="AJ196:AJ197"/>
    <mergeCell ref="AJ198:AJ199"/>
    <mergeCell ref="AJ206:AJ207"/>
    <mergeCell ref="AJ208:AJ209"/>
    <mergeCell ref="AJ210:AJ211"/>
    <mergeCell ref="AJ238:AJ239"/>
    <mergeCell ref="AJ240:AJ241"/>
    <mergeCell ref="AJ242:AJ243"/>
    <mergeCell ref="AJ244:AJ245"/>
    <mergeCell ref="AJ246:AJ247"/>
    <mergeCell ref="AJ248:AJ249"/>
    <mergeCell ref="AJ250:AJ251"/>
    <mergeCell ref="AJ252:AJ253"/>
    <mergeCell ref="AJ254:AJ255"/>
    <mergeCell ref="AJ256:AJ257"/>
    <mergeCell ref="AJ258:AJ259"/>
    <mergeCell ref="AJ306:AJ307"/>
    <mergeCell ref="AJ308:AJ309"/>
    <mergeCell ref="AJ310:AJ311"/>
    <mergeCell ref="AJ334:AJ335"/>
    <mergeCell ref="AJ336:AJ337"/>
    <mergeCell ref="AJ338:AJ339"/>
    <mergeCell ref="AJ340:AJ341"/>
    <mergeCell ref="AJ342:AJ343"/>
    <mergeCell ref="AJ344:AJ345"/>
    <mergeCell ref="AJ346:AJ347"/>
    <mergeCell ref="AJ348:AJ349"/>
    <mergeCell ref="AJ350:AJ351"/>
    <mergeCell ref="AJ352:AJ353"/>
    <mergeCell ref="AJ354:AJ355"/>
    <mergeCell ref="AJ356:AJ357"/>
    <mergeCell ref="AJ394:AJ395"/>
    <mergeCell ref="AJ396:AJ397"/>
    <mergeCell ref="AJ398:AJ399"/>
    <mergeCell ref="AJ400:AJ401"/>
    <mergeCell ref="AJ402:AJ403"/>
    <mergeCell ref="AJ404:AJ405"/>
    <mergeCell ref="AJ406:AJ407"/>
    <mergeCell ref="AJ408:AJ409"/>
    <mergeCell ref="AJ410:AJ411"/>
    <mergeCell ref="AJ412:AJ413"/>
    <mergeCell ref="AJ414:AJ415"/>
    <mergeCell ref="AJ422:AJ423"/>
    <mergeCell ref="AJ424:AJ425"/>
    <mergeCell ref="AJ426:AJ427"/>
    <mergeCell ref="AJ428:AJ429"/>
    <mergeCell ref="AJ430:AJ431"/>
    <mergeCell ref="AJ432:AJ433"/>
    <mergeCell ref="AJ434:AJ435"/>
    <mergeCell ref="AJ436:AJ437"/>
    <mergeCell ref="AJ438:AJ439"/>
    <mergeCell ref="AJ440:AJ441"/>
    <mergeCell ref="AJ452:AJ453"/>
    <mergeCell ref="AJ454:AJ455"/>
    <mergeCell ref="AJ456:AJ457"/>
    <mergeCell ref="AJ458:AJ459"/>
    <mergeCell ref="AJ460:AJ461"/>
    <mergeCell ref="AJ462:AJ463"/>
    <mergeCell ref="AJ464:AJ465"/>
    <mergeCell ref="AJ466:AJ467"/>
    <mergeCell ref="AJ468:AJ469"/>
    <mergeCell ref="AJ470:AJ471"/>
    <mergeCell ref="AJ472:AJ473"/>
    <mergeCell ref="AJ474:AJ475"/>
    <mergeCell ref="AJ476:AJ477"/>
    <mergeCell ref="AJ478:AJ479"/>
    <mergeCell ref="AJ778:AJ779"/>
    <mergeCell ref="AJ780:AJ781"/>
    <mergeCell ref="AJ782:AJ783"/>
    <mergeCell ref="AJ480:AJ481"/>
    <mergeCell ref="AJ482:AJ483"/>
    <mergeCell ref="AJ484:AJ485"/>
    <mergeCell ref="AJ588:AJ589"/>
    <mergeCell ref="AJ590:AJ591"/>
    <mergeCell ref="AJ770:AJ771"/>
    <mergeCell ref="A2:AK2"/>
    <mergeCell ref="AJ784:AJ785"/>
    <mergeCell ref="AJ786:AJ787"/>
    <mergeCell ref="E810:E811"/>
    <mergeCell ref="E814:E815"/>
    <mergeCell ref="AJ812:AJ813"/>
    <mergeCell ref="E778:E779"/>
    <mergeCell ref="AJ772:AJ773"/>
    <mergeCell ref="AJ774:AJ775"/>
    <mergeCell ref="AJ776:AJ777"/>
  </mergeCells>
  <printOptions horizontalCentered="1"/>
  <pageMargins left="0.2362204724409449" right="0.2362204724409449" top="0.35433070866141736" bottom="0.7480314960629921" header="0.31496062992125984" footer="0.5905511811023623"/>
  <pageSetup horizontalDpi="600" verticalDpi="600" orientation="landscape" paperSize="8" scale="67" r:id="rId1"/>
  <headerFooter alignWithMargins="0">
    <oddFooter>&amp;L                                    &amp;"Arial,Kalın"&amp;11&amp;UDÜZENLEYEN&amp;C&amp;"Arial,Kalın"&amp;11&amp;UKONTROL EDEN&amp;R&amp;"Arial,Kalın"&amp;11&amp;UONAYLAYAN &amp;"Arial,Normal"&amp;10&amp;U                         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WİN7</cp:lastModifiedBy>
  <cp:lastPrinted>2020-10-08T15:16:48Z</cp:lastPrinted>
  <dcterms:created xsi:type="dcterms:W3CDTF">2020-10-08T15:14:23Z</dcterms:created>
  <dcterms:modified xsi:type="dcterms:W3CDTF">2021-01-05T12:28:19Z</dcterms:modified>
  <cp:category/>
  <cp:version/>
  <cp:contentType/>
  <cp:contentStatus/>
</cp:coreProperties>
</file>